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755" activeTab="3"/>
  </bookViews>
  <sheets>
    <sheet name="01" sheetId="1" r:id="rId1"/>
    <sheet name="PT01" sheetId="2" r:id="rId2"/>
    <sheet name="02" sheetId="3" r:id="rId3"/>
    <sheet name="PT02" sheetId="4" r:id="rId4"/>
    <sheet name="04" sheetId="5" r:id="rId5"/>
    <sheet name="05" sheetId="6" r:id="rId6"/>
    <sheet name="09" sheetId="7" r:id="rId7"/>
    <sheet name="PLChuaDieuKien" sheetId="8" r:id="rId8"/>
  </sheets>
  <externalReferences>
    <externalReference r:id="rId11"/>
    <externalReference r:id="rId12"/>
    <externalReference r:id="rId13"/>
    <externalReference r:id="rId14"/>
    <externalReference r:id="rId15"/>
  </externalReferences>
  <definedNames>
    <definedName name="_xlnm.Print_Area" localSheetId="0">'01'!$A$1:$U$41</definedName>
    <definedName name="_xlnm.Print_Area" localSheetId="2">'02'!$A$1:$U$41</definedName>
    <definedName name="_xlnm.Print_Area" localSheetId="4">'04'!$A$1:$U$53</definedName>
    <definedName name="_xlnm.Print_Area" localSheetId="5">'05'!$A$1:$U$53</definedName>
    <definedName name="_xlnm.Print_Area" localSheetId="1">'PT01'!$A$1:$D$36</definedName>
    <definedName name="_xlnm.Print_Area" localSheetId="3">'PT02'!$A$1:$D$36</definedName>
    <definedName name="_xlnm.Print_Titles" localSheetId="7">'PLChuaDieuKien'!$4:$5</definedName>
    <definedName name="_xlnm.Print_Titles" localSheetId="1">'PT01'!$2:$2</definedName>
    <definedName name="_xlnm.Print_Titles" localSheetId="3">'PT02'!$2:$2</definedName>
  </definedNames>
  <calcPr fullCalcOnLoad="1"/>
</workbook>
</file>

<file path=xl/sharedStrings.xml><?xml version="1.0" encoding="utf-8"?>
<sst xmlns="http://schemas.openxmlformats.org/spreadsheetml/2006/main" count="672" uniqueCount="224">
  <si>
    <t xml:space="preserve">Biểu số: 04/TK-THA
Ban hành theo TT số: 06/2019/TT-BTP
ngày 21 tháng 11 năm 2019
Ngày nhận báo cáo: </t>
  </si>
  <si>
    <t>Đơn vị tính: Bản án, quyết định, việc và %</t>
  </si>
  <si>
    <t>STT</t>
  </si>
  <si>
    <t>Tên chỉ tiêu</t>
  </si>
  <si>
    <t>Tổng số  bản án, quyết định đã nhận</t>
  </si>
  <si>
    <t>Tổng số giải quyết</t>
  </si>
  <si>
    <t>Chia ra:</t>
  </si>
  <si>
    <t>Ủy thác thi hành án</t>
  </si>
  <si>
    <t>Thu hồi, hủy quyết định THA</t>
  </si>
  <si>
    <t>Tổng số phải thi hành</t>
  </si>
  <si>
    <t xml:space="preserve">Số chuyển kỳ sau </t>
  </si>
  <si>
    <t>Tỷ lệ thi hành xong trong số có điều kiện</t>
  </si>
  <si>
    <t>Năm trước chuyển sang (trừ số đã chuyển sổ theo dõi riêng)</t>
  </si>
  <si>
    <t>Thụ lý mới</t>
  </si>
  <si>
    <t>Tổng số có điều kiện thi hành</t>
  </si>
  <si>
    <t>Chưa có điều kiện (trừ số đã chuyển sổ theo dõi riêng)</t>
  </si>
  <si>
    <t>Hoãn thi hành án (trừ điểm c k1, Đ 48)</t>
  </si>
  <si>
    <t xml:space="preserve">Tạm đình chỉ thi hành án </t>
  </si>
  <si>
    <t>Tổng số thi hành xong</t>
  </si>
  <si>
    <t>Đang thi hành</t>
  </si>
  <si>
    <t>Hoãn theo điểm c k1, Đ 48</t>
  </si>
  <si>
    <t>Trường hợp khác</t>
  </si>
  <si>
    <t>Thi hành xong</t>
  </si>
  <si>
    <t xml:space="preserve">Đình chỉ </t>
  </si>
  <si>
    <t>A</t>
  </si>
  <si>
    <t>1</t>
  </si>
  <si>
    <t>2</t>
  </si>
  <si>
    <t>3</t>
  </si>
  <si>
    <t>4</t>
  </si>
  <si>
    <t>5</t>
  </si>
  <si>
    <t>6</t>
  </si>
  <si>
    <t>7</t>
  </si>
  <si>
    <t>8</t>
  </si>
  <si>
    <t>9</t>
  </si>
  <si>
    <t>10</t>
  </si>
  <si>
    <t>11</t>
  </si>
  <si>
    <t>12</t>
  </si>
  <si>
    <t>13</t>
  </si>
  <si>
    <t>14</t>
  </si>
  <si>
    <t>15</t>
  </si>
  <si>
    <t>16</t>
  </si>
  <si>
    <t>17</t>
  </si>
  <si>
    <t>18</t>
  </si>
  <si>
    <t>19</t>
  </si>
  <si>
    <t>Tổng số</t>
  </si>
  <si>
    <t xml:space="preserve"> </t>
  </si>
  <si>
    <t>I</t>
  </si>
  <si>
    <t>Chu Văn Quý</t>
  </si>
  <si>
    <t>Ngô Thị Hồng Nhung</t>
  </si>
  <si>
    <t>Vũ Ngọc Phương</t>
  </si>
  <si>
    <t>II</t>
  </si>
  <si>
    <t>CÁC CHI CỤC THADS</t>
  </si>
  <si>
    <t>Chi cục Thi hành án dân sự Huyện Lý Nhân</t>
  </si>
  <si>
    <t>Trần Khánh Dư</t>
  </si>
  <si>
    <t>Bùi Trọng Tiến</t>
  </si>
  <si>
    <t>Đỗ Thị Thu Hằng</t>
  </si>
  <si>
    <t>Nguyễn Xuân Thắng</t>
  </si>
  <si>
    <t>Chi cục Thi hành án dân sự Huyện Bình Lục</t>
  </si>
  <si>
    <t>Trương Văn Tuấn</t>
  </si>
  <si>
    <t>Nguyễn Lập Thuấn</t>
  </si>
  <si>
    <t>Tạ Đình Quang</t>
  </si>
  <si>
    <t>Lữ Thị Minh Châu</t>
  </si>
  <si>
    <t>Chi cục Thi hành án dân sự Huyện Duy Tiên</t>
  </si>
  <si>
    <t>Trần Văn Hoàng</t>
  </si>
  <si>
    <t>Nguyễn Thị Hoài</t>
  </si>
  <si>
    <t>Hoàng Long</t>
  </si>
  <si>
    <t>Đỗ Hoàng Hải</t>
  </si>
  <si>
    <t>Chi cục Thi hành án dân sự Huyện Kim Bảng</t>
  </si>
  <si>
    <t>Ngô Đình Quyết</t>
  </si>
  <si>
    <t>Vũ Văn Duyến</t>
  </si>
  <si>
    <t>Đỗ Thị Hoàn</t>
  </si>
  <si>
    <t>Nguyễn Minh Trường</t>
  </si>
  <si>
    <t>Phan Thị Ngọc Lan</t>
  </si>
  <si>
    <t>Chi cục Thi hành án dân sự Huyện Thanh Liêm</t>
  </si>
  <si>
    <t>Vũ Thi Ninh</t>
  </si>
  <si>
    <t>Nguyễn Trung Chính</t>
  </si>
  <si>
    <t>Chi cục Thi hành án dân sự Thành phố Phủ Lý</t>
  </si>
  <si>
    <t>Vũ Quang Hiệp</t>
  </si>
  <si>
    <t>Phạm Thị Thu Hà</t>
  </si>
  <si>
    <t>Nguyễn Quốc Thuận</t>
  </si>
  <si>
    <t>Đỗ Thị Hạnh</t>
  </si>
  <si>
    <t>Lê Quốc Huy</t>
  </si>
  <si>
    <t>Đồng Hữu Trung</t>
  </si>
  <si>
    <t>Nguyễn Thị Hồng Vân</t>
  </si>
  <si>
    <t>NGƯỜI LẬP BIỂU</t>
  </si>
  <si>
    <t xml:space="preserve">Biểu số: 05/TK-THA
Ban hành theo TT số: 06/2019/TT-BTP
ngày 21 tháng 11 năm 2019
Ngày nhận báo cáo: </t>
  </si>
  <si>
    <t>Đơn vị tính: 1.000 VNĐ và %</t>
  </si>
  <si>
    <t>Thu hồi, sửa, hủy quyết định THA</t>
  </si>
  <si>
    <t>Giảm nghĩa vụ thi hành án</t>
  </si>
  <si>
    <t>Tổng số</t>
  </si>
  <si>
    <t>CỤC THI HÀNH ÁN DS</t>
  </si>
  <si>
    <t>Nguyễn Minh Tuấn</t>
  </si>
  <si>
    <t>Vũ Văn Khánh</t>
  </si>
  <si>
    <t>HOÀNG VĂN TUỆ</t>
  </si>
  <si>
    <t xml:space="preserve">Biểu số: 01/TK-THA
Ban hành theo TT số: 06/2019/TT-BTP
ngày 21 tháng 11 năm 2019
Ngày nhận báo cáo: </t>
  </si>
  <si>
    <t>Thu hồi,  hủy quyết định THA</t>
  </si>
  <si>
    <t>Tổng số việc chủ động</t>
  </si>
  <si>
    <t>Dân sự</t>
  </si>
  <si>
    <t>Kinh doanh, thương mại</t>
  </si>
  <si>
    <t>Tín dụng</t>
  </si>
  <si>
    <t>DS trong hình sự  (tội phạm chức vụ)</t>
  </si>
  <si>
    <t>DS trong hình sự (các tội XPTrTQLKT)</t>
  </si>
  <si>
    <t>DS trong hình sự (khác)</t>
  </si>
  <si>
    <t>DS trong hành chính</t>
  </si>
  <si>
    <t>Hôn nhân và gia đình</t>
  </si>
  <si>
    <t>Lao động</t>
  </si>
  <si>
    <t>Phá sản</t>
  </si>
  <si>
    <t>Trọng tài Thương mại</t>
  </si>
  <si>
    <t>Vụ việc cạnh tranh</t>
  </si>
  <si>
    <t>Loại khác</t>
  </si>
  <si>
    <t>Tổng số việc theo yêu cầu</t>
  </si>
  <si>
    <t xml:space="preserve">PHÂN TÍCH MỘT SỐ CHỈ TIÊU VIỆC 
THI HÀNH ÁN DÂN SỰ </t>
  </si>
  <si>
    <t>Chỉ tiêu</t>
  </si>
  <si>
    <t>Chủ động</t>
  </si>
  <si>
    <t>Theo yêu cầu</t>
  </si>
  <si>
    <t xml:space="preserve">Số đình chỉ thi hành án </t>
  </si>
  <si>
    <t>1.1</t>
  </si>
  <si>
    <t>Điểm a khoản 1 Điều 50</t>
  </si>
  <si>
    <t>1.2</t>
  </si>
  <si>
    <t>Điểm b khoản 1 Điều 50</t>
  </si>
  <si>
    <t>1.3</t>
  </si>
  <si>
    <t>Điểm c khoản 1 Điều 50</t>
  </si>
  <si>
    <t>1.4</t>
  </si>
  <si>
    <t>Điểm d khoản 1 Điều 50</t>
  </si>
  <si>
    <t>1.5</t>
  </si>
  <si>
    <t>Điểm đ khoản 1 Điều 50</t>
  </si>
  <si>
    <t>1.6</t>
  </si>
  <si>
    <t>Điểm e khoản 1 Điều 50</t>
  </si>
  <si>
    <t>1.7</t>
  </si>
  <si>
    <t>Điểm g khoản 1 Điều 50</t>
  </si>
  <si>
    <t>1.8</t>
  </si>
  <si>
    <t>Điểm h khoản 1 Điều 50</t>
  </si>
  <si>
    <t>2.1</t>
  </si>
  <si>
    <t>Tạm dừng thi hành án để giải quyết khiếu nại</t>
  </si>
  <si>
    <t>2.2</t>
  </si>
  <si>
    <t>Đang trong thời gian tự nguyện thi hành án</t>
  </si>
  <si>
    <t>2.3</t>
  </si>
  <si>
    <t>Đang trong thời gian chờ ý kiến của cơ quan có thẩm quyền</t>
  </si>
  <si>
    <t xml:space="preserve">Số hoãn thi hành án </t>
  </si>
  <si>
    <t>3.1</t>
  </si>
  <si>
    <t>Điểm a khoản 1 Điều 48</t>
  </si>
  <si>
    <t>3.2</t>
  </si>
  <si>
    <t>Điểm b khoản 1 Điều 48</t>
  </si>
  <si>
    <t>3.3</t>
  </si>
  <si>
    <t>Điểm c khoản 1 Điều 48</t>
  </si>
  <si>
    <t>3.4</t>
  </si>
  <si>
    <t>Điểm d khoản 1 Điều 48</t>
  </si>
  <si>
    <t>3.5</t>
  </si>
  <si>
    <t>Điểm đ khoản 1 Điều 48</t>
  </si>
  <si>
    <t>3.6</t>
  </si>
  <si>
    <t>Điểm e khoản 1 Điều 48</t>
  </si>
  <si>
    <t>3.7</t>
  </si>
  <si>
    <t>Điểm g khoản 1 Điều 48</t>
  </si>
  <si>
    <t>3.8</t>
  </si>
  <si>
    <t>Điểm h khoản 1 Điều 48</t>
  </si>
  <si>
    <t>3.9</t>
  </si>
  <si>
    <t>Khoản 2 Điều 48</t>
  </si>
  <si>
    <t>Số tạm đình chỉ thi hành án</t>
  </si>
  <si>
    <t>4.1</t>
  </si>
  <si>
    <t>Khoản 1 Điều 49</t>
  </si>
  <si>
    <t>4.2</t>
  </si>
  <si>
    <t>Khoản 2 Điều 49</t>
  </si>
  <si>
    <t>Số chưa có điều kiện theo Điều 44a</t>
  </si>
  <si>
    <t>5.1</t>
  </si>
  <si>
    <t>Điểm a khoản 1 Điều 44a</t>
  </si>
  <si>
    <t>5.2</t>
  </si>
  <si>
    <t>Điểm b khoản 1 Điều 44a</t>
  </si>
  <si>
    <t>5.3</t>
  </si>
  <si>
    <t>Điểm c khoản 1 Điều 44a</t>
  </si>
  <si>
    <t>5.4</t>
  </si>
  <si>
    <t>Trường hợp chưa có điều kiện khác</t>
  </si>
  <si>
    <t>Số chưa có điều kiện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</si>
  <si>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</si>
  <si>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 Các ô bôi vàng không thực hiện thống kê</t>
  </si>
  <si>
    <t xml:space="preserve">Biểu số: 02/TK-THA
Ban hành theo TT số: 06/2019/TT-BTP
ngày 21 tháng 11 năm 2019
Ngày nhận báo cáo: </t>
  </si>
  <si>
    <t>PHÂN TÍCH MỘT SỐ CHỈ TIÊU TIỀN
THI HÀNH ÁN DÂN SỰ</t>
  </si>
  <si>
    <t>KẾT QUẢ THI HÀNH ÁN DÂN SỰ TÍNH BẰNG VIỆC
3 tháng/năm 2021</t>
  </si>
  <si>
    <t>KẾT QUẢ THI HÀNH ÁN DÂN SỰ TÍNH BẰNG TIỀN
3 tháng/năm 2021</t>
  </si>
  <si>
    <t>KẾT QUẢ THI HÀNH ÁN DÂN SỰ TÍNH BẰNG VIỆC CHIA THEO CƠ QUAN THI HÀNH ÁN DÂN SỰ VÀ CHẤP HÀNH VIÊN
3 tháng năm 2021</t>
  </si>
  <si>
    <t>KẾT QUẢ THI HÀNH ÁN DÂN SỰ TÍNH BẰNG TIỀN CHIA THEO CƠ QUAN THI HÀNH ÁN DÂN SỰ VÀ CHẤP HÀNH VIÊN
3 tháng/năm 2021</t>
  </si>
  <si>
    <t>Hoàng Văn Tuệ</t>
  </si>
  <si>
    <t>Trần Đức Toản</t>
  </si>
  <si>
    <t>Hà Nam, Ngày 04 tháng 01 năm 2021</t>
  </si>
  <si>
    <t>Hà Nam , Ngày 04 tháng 01 năm 2021</t>
  </si>
  <si>
    <t>Hà Nam, Ngày 04 tháng 1 năm 2021</t>
  </si>
  <si>
    <t xml:space="preserve">Biểu số: 09/TK-THA
Ban hành theo TT số: 06/2019/TT-BTP
ngày 21 tháng 11 năm 2019
Ngày nhận báo cáo: </t>
  </si>
  <si>
    <r>
      <t>TIẾP CÔNG DÂN TRONG THI HÀNH ÁN DÂN SỰ
10</t>
    </r>
    <r>
      <rPr>
        <sz val="13"/>
        <rFont val="Times New Roman"/>
        <family val="1"/>
      </rPr>
      <t xml:space="preserve"> tháng/năm 2020</t>
    </r>
  </si>
  <si>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</si>
  <si>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</si>
  <si>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</si>
  <si>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</si>
  <si>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</si>
  <si>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</si>
  <si>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</si>
  <si>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</si>
  <si>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</si>
  <si>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</si>
  <si>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</si>
  <si>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</si>
  <si>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Khiếu nại</t>
  </si>
  <si>
    <t>Tố cáo</t>
  </si>
  <si>
    <t>Kiến nghị, phản ánh</t>
  </si>
  <si>
    <t>Thuộc thẩm quyền</t>
  </si>
  <si>
    <t>Khác</t>
  </si>
  <si>
    <t>Số đã giải quyết</t>
  </si>
  <si>
    <t>Số chưa giải quyết chuyển kỳ sau</t>
  </si>
  <si>
    <t>Cục Thi hành án DS Hà Nam</t>
  </si>
  <si>
    <t>Các Chi cục THADS</t>
  </si>
  <si>
    <t>Chi cục Thi hành án TP Phủ Lý</t>
  </si>
  <si>
    <t>Chi cục Thi hành án TX Duy Tiên</t>
  </si>
  <si>
    <t>Chi cục Thi hành án Bình Lục</t>
  </si>
  <si>
    <t>Chi cục Thi hành án Thanh Liêm</t>
  </si>
  <si>
    <t>Chi cục Thi hành án Lý Nhân</t>
  </si>
  <si>
    <t>Chi cục Thi hành án Kim Bảng</t>
  </si>
  <si>
    <t>PHỤ LỤC THEO DÕI SỐ CHUYỂN THEO DÕI RIÊNG</t>
  </si>
  <si>
    <t xml:space="preserve">… tháng … năm </t>
  </si>
  <si>
    <t>Đơn vị tính: việc và 1.000 đồng</t>
  </si>
  <si>
    <t>TT</t>
  </si>
  <si>
    <t>Tiêu chí</t>
  </si>
  <si>
    <t>Việc</t>
  </si>
  <si>
    <t>Tiền</t>
  </si>
  <si>
    <t>Năm trước chuyển sang (chưa trừ theo dõi riêng)</t>
  </si>
  <si>
    <t>Chưa có điều kiện (chưa trừ  theo dõi riêng)</t>
  </si>
  <si>
    <t>Chuyển theo dõi riêng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</si>
</sst>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Red]#,##0"/>
    <numFmt numFmtId="167" formatCode="_(* #,##0.0_);_(* \(#,##0.0\);_(* &quot;-&quot;??_);_(@_)"/>
  </numFmts>
  <fonts count="74">
    <font>
      <sz val="12"/>
      <name val="Times New Roman"/>
      <family val="1"/>
    </font>
    <font>
      <sz val="11"/>
      <color indexed="8"/>
      <name val="Calibri"/>
      <family val="2"/>
    </font>
    <font>
      <b/>
      <sz val="13"/>
      <name val="Times New Roman"/>
      <family val="1"/>
    </font>
    <font>
      <b/>
      <sz val="12"/>
      <name val="Times New Roman"/>
      <family val="1"/>
    </font>
    <font>
      <sz val="12"/>
      <color indexed="9"/>
      <name val="Times New Roman"/>
      <family val="1"/>
    </font>
    <font>
      <i/>
      <sz val="12"/>
      <name val="Times New Roman"/>
      <family val="1"/>
    </font>
    <font>
      <b/>
      <sz val="9"/>
      <name val="Times New Roman"/>
      <family val="1"/>
    </font>
    <font>
      <sz val="9"/>
      <name val="Times New Roman"/>
      <family val="1"/>
    </font>
    <font>
      <sz val="13"/>
      <name val="Times New Roman"/>
      <family val="1"/>
    </font>
    <font>
      <sz val="11"/>
      <name val="Times New Roman"/>
      <family val="1"/>
    </font>
    <font>
      <sz val="9"/>
      <color indexed="9"/>
      <name val="Times New Roman"/>
      <family val="1"/>
    </font>
    <font>
      <sz val="8"/>
      <name val="Times New Roman"/>
      <family val="1"/>
    </font>
    <font>
      <sz val="10"/>
      <name val="Times New Roman"/>
      <family val="1"/>
    </font>
    <font>
      <b/>
      <sz val="14"/>
      <name val="Times New Roman"/>
      <family val="1"/>
    </font>
    <font>
      <sz val="14"/>
      <name val=".VnTime"/>
      <family val="2"/>
    </font>
    <font>
      <b/>
      <sz val="10"/>
      <name val="Times New Roman"/>
      <family val="1"/>
    </font>
    <font>
      <sz val="14"/>
      <name val="Times New Roman"/>
      <family val="1"/>
    </font>
    <font>
      <b/>
      <sz val="11"/>
      <name val="Times New Roman"/>
      <family val="1"/>
    </font>
    <font>
      <i/>
      <sz val="11"/>
      <color indexed="10"/>
      <name val="Times New Roman"/>
      <family val="1"/>
    </font>
    <font>
      <i/>
      <sz val="11"/>
      <name val="Times New Roman"/>
      <family val="1"/>
    </font>
    <font>
      <i/>
      <sz val="10"/>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sz val="12"/>
      <color indexed="10"/>
      <name val="Times New Roman"/>
      <family val="1"/>
    </font>
    <font>
      <sz val="10"/>
      <color indexed="8"/>
      <name val="Times New Roman"/>
      <family val="1"/>
    </font>
    <font>
      <b/>
      <sz val="10"/>
      <color indexed="8"/>
      <name val="Times New Roman"/>
      <family val="1"/>
    </font>
    <font>
      <sz val="8"/>
      <color indexed="8"/>
      <name val="Times New Roman"/>
      <family val="1"/>
    </font>
    <font>
      <sz val="11"/>
      <color indexed="10"/>
      <name val="Times New Roman"/>
      <family val="1"/>
    </font>
    <font>
      <sz val="11"/>
      <color indexed="8"/>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Times New Roman"/>
      <family val="1"/>
    </font>
    <font>
      <b/>
      <sz val="9"/>
      <color rgb="FF000000"/>
      <name val="Times New Roman"/>
      <family val="1"/>
    </font>
    <font>
      <sz val="12"/>
      <color rgb="FFFF0000"/>
      <name val="Times New Roman"/>
      <family val="1"/>
    </font>
    <font>
      <sz val="10"/>
      <color rgb="FF000000"/>
      <name val="Times New Roman"/>
      <family val="1"/>
    </font>
    <font>
      <b/>
      <sz val="10"/>
      <color rgb="FF000000"/>
      <name val="Times New Roman"/>
      <family val="1"/>
    </font>
    <font>
      <sz val="8"/>
      <color rgb="FF000000"/>
      <name val="Times New Roman"/>
      <family val="1"/>
    </font>
    <font>
      <sz val="11"/>
      <color rgb="FFFF0000"/>
      <name val="Times New Roman"/>
      <family val="1"/>
    </font>
    <font>
      <sz val="11"/>
      <color theme="1"/>
      <name val="Times New Roman"/>
      <family val="1"/>
    </font>
    <font>
      <sz val="10"/>
      <color rgb="FFFF0000"/>
      <name val="Times New Roman"/>
      <family val="1"/>
    </font>
    <font>
      <sz val="12"/>
      <color theme="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s>
  <cellStyleXfs count="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47" fillId="0" borderId="0" applyFont="0" applyFill="0" applyBorder="0" applyAlignment="0" applyProtection="0"/>
    <xf numFmtId="43" fontId="0"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36">
    <xf numFmtId="0" fontId="0" fillId="0" borderId="0" xfId="0" applyAlignment="1">
      <alignment/>
    </xf>
    <xf numFmtId="49" fontId="0" fillId="33" borderId="0" xfId="0" applyNumberFormat="1" applyFont="1" applyFill="1" applyAlignment="1">
      <alignment/>
    </xf>
    <xf numFmtId="49" fontId="0"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xf>
    <xf numFmtId="49" fontId="0" fillId="0" borderId="0" xfId="0" applyNumberFormat="1" applyFont="1" applyFill="1" applyAlignment="1">
      <alignment/>
    </xf>
    <xf numFmtId="0" fontId="4" fillId="33" borderId="10" xfId="0" applyNumberFormat="1" applyFont="1" applyFill="1" applyBorder="1" applyAlignment="1">
      <alignment/>
    </xf>
    <xf numFmtId="1" fontId="4" fillId="33" borderId="0" xfId="0" applyNumberFormat="1" applyFont="1" applyFill="1" applyAlignment="1">
      <alignment/>
    </xf>
    <xf numFmtId="49" fontId="0" fillId="0" borderId="0" xfId="0" applyNumberFormat="1" applyFont="1" applyFill="1" applyAlignment="1">
      <alignment horizontal="center"/>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7" fillId="33" borderId="11" xfId="0" applyNumberFormat="1" applyFont="1" applyFill="1" applyBorder="1" applyAlignment="1" applyProtection="1">
      <alignment horizontal="center" vertical="center" wrapText="1"/>
      <protection/>
    </xf>
    <xf numFmtId="164" fontId="7" fillId="34" borderId="11" xfId="42" applyNumberFormat="1" applyFont="1" applyFill="1" applyBorder="1" applyAlignment="1" applyProtection="1">
      <alignment horizontal="center" vertical="center"/>
      <protection/>
    </xf>
    <xf numFmtId="10" fontId="7" fillId="34" borderId="11" xfId="58" applyNumberFormat="1" applyFont="1" applyFill="1" applyBorder="1" applyAlignment="1" applyProtection="1">
      <alignment horizontal="center" vertical="center"/>
      <protection locked="0"/>
    </xf>
    <xf numFmtId="49" fontId="0" fillId="33" borderId="0" xfId="0" applyNumberFormat="1" applyFont="1" applyFill="1" applyAlignment="1" applyProtection="1">
      <alignment/>
      <protection locked="0"/>
    </xf>
    <xf numFmtId="165" fontId="64" fillId="35" borderId="11" xfId="0" applyNumberFormat="1" applyFont="1" applyFill="1" applyBorder="1" applyAlignment="1">
      <alignment horizontal="center" vertical="center" wrapText="1"/>
    </xf>
    <xf numFmtId="0" fontId="64" fillId="35" borderId="11" xfId="0" applyFont="1" applyFill="1" applyBorder="1" applyAlignment="1">
      <alignment vertical="center" wrapText="1"/>
    </xf>
    <xf numFmtId="164" fontId="64" fillId="35" borderId="11" xfId="42" applyNumberFormat="1" applyFont="1" applyFill="1" applyBorder="1" applyAlignment="1">
      <alignment vertical="center" wrapText="1"/>
    </xf>
    <xf numFmtId="0" fontId="65" fillId="35" borderId="11" xfId="0" applyFont="1" applyFill="1" applyBorder="1" applyAlignment="1">
      <alignment horizontal="center" vertical="center" wrapText="1"/>
    </xf>
    <xf numFmtId="0" fontId="65" fillId="35" borderId="11" xfId="0" applyFont="1" applyFill="1" applyBorder="1" applyAlignment="1">
      <alignment vertical="center" wrapText="1"/>
    </xf>
    <xf numFmtId="49" fontId="8" fillId="0" borderId="12"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0" fillId="33" borderId="0" xfId="0" applyNumberFormat="1" applyFont="1" applyFill="1" applyBorder="1" applyAlignment="1">
      <alignment/>
    </xf>
    <xf numFmtId="49" fontId="8" fillId="0" borderId="0" xfId="0" applyNumberFormat="1" applyFont="1" applyFill="1" applyBorder="1" applyAlignment="1" applyProtection="1">
      <alignment wrapText="1"/>
      <protection/>
    </xf>
    <xf numFmtId="49" fontId="0" fillId="0" borderId="0" xfId="0" applyNumberFormat="1" applyFont="1" applyFill="1" applyAlignment="1" applyProtection="1">
      <alignment horizontal="center"/>
      <protection/>
    </xf>
    <xf numFmtId="49" fontId="8" fillId="0" borderId="0" xfId="0" applyNumberFormat="1" applyFont="1" applyFill="1" applyBorder="1" applyAlignment="1" applyProtection="1">
      <alignment/>
      <protection/>
    </xf>
    <xf numFmtId="49" fontId="0" fillId="0" borderId="0" xfId="0" applyNumberFormat="1" applyFont="1" applyFill="1" applyAlignment="1" applyProtection="1">
      <alignment/>
      <protection/>
    </xf>
    <xf numFmtId="49" fontId="66"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9" fillId="0" borderId="0" xfId="0" applyNumberFormat="1" applyFont="1" applyFill="1" applyAlignment="1" applyProtection="1">
      <alignment wrapText="1"/>
      <protection/>
    </xf>
    <xf numFmtId="49" fontId="9" fillId="0" borderId="0" xfId="0" applyNumberFormat="1" applyFont="1" applyFill="1" applyAlignment="1" applyProtection="1">
      <alignment horizontal="center" wrapText="1"/>
      <protection/>
    </xf>
    <xf numFmtId="49" fontId="0" fillId="33" borderId="0" xfId="0" applyNumberFormat="1" applyFont="1" applyFill="1" applyAlignment="1">
      <alignment wrapText="1"/>
    </xf>
    <xf numFmtId="49" fontId="0" fillId="33" borderId="0" xfId="0" applyNumberFormat="1" applyFont="1" applyFill="1" applyAlignment="1">
      <alignment horizontal="center"/>
    </xf>
    <xf numFmtId="164" fontId="0" fillId="0" borderId="0" xfId="0" applyNumberFormat="1" applyFont="1" applyFill="1" applyAlignment="1">
      <alignment/>
    </xf>
    <xf numFmtId="49" fontId="4" fillId="33" borderId="0" xfId="0" applyNumberFormat="1" applyFont="1" applyFill="1" applyAlignment="1">
      <alignment/>
    </xf>
    <xf numFmtId="1" fontId="10" fillId="33" borderId="0" xfId="0" applyNumberFormat="1" applyFont="1" applyFill="1" applyAlignment="1">
      <alignment horizontal="center"/>
    </xf>
    <xf numFmtId="49" fontId="4" fillId="33" borderId="0" xfId="0" applyNumberFormat="1" applyFont="1" applyFill="1" applyAlignment="1">
      <alignment horizontal="center"/>
    </xf>
    <xf numFmtId="165" fontId="67" fillId="35" borderId="11" xfId="0" applyNumberFormat="1" applyFont="1" applyFill="1" applyBorder="1" applyAlignment="1">
      <alignment horizontal="center" vertical="center" wrapText="1"/>
    </xf>
    <xf numFmtId="0" fontId="67" fillId="35" borderId="11" xfId="0" applyFont="1" applyFill="1" applyBorder="1" applyAlignment="1">
      <alignment vertical="center" wrapText="1"/>
    </xf>
    <xf numFmtId="49" fontId="7" fillId="36" borderId="11" xfId="0" applyNumberFormat="1" applyFont="1" applyFill="1" applyBorder="1" applyAlignment="1" applyProtection="1">
      <alignment horizontal="center" vertical="center" wrapText="1"/>
      <protection/>
    </xf>
    <xf numFmtId="0" fontId="0" fillId="33" borderId="0" xfId="0" applyNumberFormat="1" applyFont="1" applyFill="1" applyAlignment="1">
      <alignment/>
    </xf>
    <xf numFmtId="0" fontId="0" fillId="33" borderId="0" xfId="0" applyNumberFormat="1" applyFont="1" applyFill="1" applyAlignment="1">
      <alignment horizontal="center" vertical="center"/>
    </xf>
    <xf numFmtId="0" fontId="0" fillId="33" borderId="0" xfId="0" applyNumberFormat="1" applyFont="1" applyFill="1" applyBorder="1" applyAlignment="1">
      <alignment horizontal="center" vertical="center"/>
    </xf>
    <xf numFmtId="0" fontId="0" fillId="33" borderId="0" xfId="0" applyNumberFormat="1" applyFont="1" applyFill="1" applyAlignment="1" applyProtection="1">
      <alignment/>
      <protection locked="0"/>
    </xf>
    <xf numFmtId="0" fontId="0" fillId="33" borderId="0" xfId="58" applyNumberFormat="1" applyFont="1" applyFill="1" applyAlignment="1">
      <alignment horizontal="center" vertical="center"/>
    </xf>
    <xf numFmtId="49" fontId="7" fillId="0" borderId="11" xfId="0" applyNumberFormat="1" applyFont="1" applyFill="1" applyBorder="1" applyAlignment="1" applyProtection="1">
      <alignment horizontal="center" vertical="center" wrapText="1"/>
      <protection/>
    </xf>
    <xf numFmtId="164" fontId="7" fillId="0" borderId="11" xfId="42" applyNumberFormat="1" applyFont="1" applyFill="1" applyBorder="1" applyAlignment="1" applyProtection="1">
      <alignment horizontal="center" vertical="center"/>
      <protection/>
    </xf>
    <xf numFmtId="164" fontId="7" fillId="0" borderId="11" xfId="42" applyNumberFormat="1" applyFont="1" applyFill="1" applyBorder="1" applyAlignment="1" applyProtection="1">
      <alignment horizontal="center" vertical="center"/>
      <protection locked="0"/>
    </xf>
    <xf numFmtId="164" fontId="65" fillId="35" borderId="11" xfId="42" applyNumberFormat="1" applyFont="1" applyFill="1" applyBorder="1" applyAlignment="1">
      <alignment vertical="center" wrapText="1"/>
    </xf>
    <xf numFmtId="164" fontId="7" fillId="37" borderId="11" xfId="42" applyNumberFormat="1" applyFont="1" applyFill="1" applyBorder="1" applyAlignment="1" applyProtection="1">
      <alignment horizontal="center" vertical="center"/>
      <protection/>
    </xf>
    <xf numFmtId="1" fontId="65" fillId="37" borderId="11" xfId="0" applyNumberFormat="1" applyFont="1" applyFill="1" applyBorder="1" applyAlignment="1">
      <alignment vertical="center" wrapText="1"/>
    </xf>
    <xf numFmtId="164" fontId="67" fillId="35" borderId="11" xfId="42" applyNumberFormat="1" applyFont="1" applyFill="1" applyBorder="1" applyAlignment="1">
      <alignment vertical="center" wrapText="1"/>
    </xf>
    <xf numFmtId="164" fontId="12" fillId="34" borderId="11" xfId="42" applyNumberFormat="1" applyFont="1" applyFill="1" applyBorder="1" applyAlignment="1" applyProtection="1">
      <alignment horizontal="center" vertical="center" wrapText="1"/>
      <protection/>
    </xf>
    <xf numFmtId="164" fontId="67" fillId="0" borderId="11" xfId="42" applyNumberFormat="1" applyFont="1" applyFill="1" applyBorder="1" applyAlignment="1">
      <alignment vertical="center" wrapText="1"/>
    </xf>
    <xf numFmtId="10" fontId="12" fillId="34" borderId="11" xfId="58" applyNumberFormat="1" applyFont="1" applyFill="1" applyBorder="1" applyAlignment="1" applyProtection="1">
      <alignment horizontal="center" vertical="center" wrapText="1"/>
      <protection locked="0"/>
    </xf>
    <xf numFmtId="1" fontId="68" fillId="38" borderId="11" xfId="0" applyNumberFormat="1" applyFont="1" applyFill="1" applyBorder="1" applyAlignment="1">
      <alignment horizontal="center" vertical="center" wrapText="1"/>
    </xf>
    <xf numFmtId="0" fontId="68" fillId="38" borderId="11" xfId="0" applyFont="1" applyFill="1" applyBorder="1" applyAlignment="1">
      <alignment vertical="center" wrapText="1"/>
    </xf>
    <xf numFmtId="164" fontId="12" fillId="38" borderId="11" xfId="42" applyNumberFormat="1" applyFont="1" applyFill="1" applyBorder="1" applyAlignment="1" applyProtection="1">
      <alignment horizontal="center" vertical="center" wrapText="1"/>
      <protection/>
    </xf>
    <xf numFmtId="164" fontId="67" fillId="38" borderId="11" xfId="42" applyNumberFormat="1" applyFont="1" applyFill="1" applyBorder="1" applyAlignment="1">
      <alignment vertical="center" wrapText="1"/>
    </xf>
    <xf numFmtId="10" fontId="12" fillId="38" borderId="11" xfId="58" applyNumberFormat="1" applyFont="1" applyFill="1" applyBorder="1" applyAlignment="1" applyProtection="1">
      <alignment horizontal="center" vertical="center" wrapText="1"/>
      <protection locked="0"/>
    </xf>
    <xf numFmtId="49" fontId="0" fillId="38" borderId="0" xfId="0" applyNumberFormat="1" applyFont="1" applyFill="1" applyAlignment="1" applyProtection="1">
      <alignment/>
      <protection locked="0"/>
    </xf>
    <xf numFmtId="0" fontId="68" fillId="38" borderId="11" xfId="0" applyFont="1" applyFill="1" applyBorder="1" applyAlignment="1">
      <alignment horizontal="center" vertical="center" wrapText="1"/>
    </xf>
    <xf numFmtId="0" fontId="65" fillId="38" borderId="11" xfId="0" applyFont="1" applyFill="1" applyBorder="1" applyAlignment="1">
      <alignment horizontal="center" vertical="center" wrapText="1"/>
    </xf>
    <xf numFmtId="0" fontId="65" fillId="38" borderId="11" xfId="0" applyFont="1" applyFill="1" applyBorder="1" applyAlignment="1">
      <alignment vertical="center" wrapText="1"/>
    </xf>
    <xf numFmtId="164" fontId="7" fillId="38" borderId="11" xfId="42" applyNumberFormat="1" applyFont="1" applyFill="1" applyBorder="1" applyAlignment="1" applyProtection="1">
      <alignment horizontal="center" vertical="center"/>
      <protection/>
    </xf>
    <xf numFmtId="1" fontId="65" fillId="38" borderId="11" xfId="0" applyNumberFormat="1" applyFont="1" applyFill="1" applyBorder="1" applyAlignment="1">
      <alignment vertical="center" wrapText="1"/>
    </xf>
    <xf numFmtId="164" fontId="65" fillId="38" borderId="11" xfId="42" applyNumberFormat="1" applyFont="1" applyFill="1" applyBorder="1" applyAlignment="1">
      <alignment vertical="center" wrapText="1"/>
    </xf>
    <xf numFmtId="164" fontId="64" fillId="38" borderId="11" xfId="42" applyNumberFormat="1" applyFont="1" applyFill="1" applyBorder="1" applyAlignment="1">
      <alignment vertical="center" wrapText="1"/>
    </xf>
    <xf numFmtId="10" fontId="7" fillId="38" borderId="11" xfId="58" applyNumberFormat="1" applyFont="1" applyFill="1" applyBorder="1" applyAlignment="1" applyProtection="1">
      <alignment horizontal="center" vertical="center"/>
      <protection locked="0"/>
    </xf>
    <xf numFmtId="1" fontId="65" fillId="38" borderId="11" xfId="0" applyNumberFormat="1" applyFont="1" applyFill="1" applyBorder="1" applyAlignment="1">
      <alignment horizontal="center" vertical="center" wrapText="1"/>
    </xf>
    <xf numFmtId="164" fontId="7" fillId="38" borderId="11" xfId="42" applyNumberFormat="1" applyFont="1" applyFill="1" applyBorder="1" applyAlignment="1" applyProtection="1">
      <alignment horizontal="center" vertical="center"/>
      <protection locked="0"/>
    </xf>
    <xf numFmtId="49" fontId="7" fillId="5" borderId="11" xfId="0" applyNumberFormat="1" applyFont="1" applyFill="1" applyBorder="1" applyAlignment="1" applyProtection="1">
      <alignment horizontal="center" vertical="center" wrapText="1"/>
      <protection/>
    </xf>
    <xf numFmtId="164" fontId="7" fillId="5" borderId="11" xfId="42" applyNumberFormat="1" applyFont="1" applyFill="1" applyBorder="1" applyAlignment="1" applyProtection="1">
      <alignment horizontal="center" vertical="center"/>
      <protection/>
    </xf>
    <xf numFmtId="164" fontId="64" fillId="5" borderId="11" xfId="42" applyNumberFormat="1" applyFont="1" applyFill="1" applyBorder="1" applyAlignment="1">
      <alignment vertical="center" wrapText="1"/>
    </xf>
    <xf numFmtId="49" fontId="66" fillId="5" borderId="0" xfId="0" applyNumberFormat="1" applyFont="1" applyFill="1" applyAlignment="1" applyProtection="1">
      <alignment/>
      <protection/>
    </xf>
    <xf numFmtId="49" fontId="9" fillId="5" borderId="0" xfId="0" applyNumberFormat="1" applyFont="1" applyFill="1" applyAlignment="1" applyProtection="1">
      <alignment horizontal="center" wrapText="1"/>
      <protection/>
    </xf>
    <xf numFmtId="49" fontId="0" fillId="5" borderId="0" xfId="0" applyNumberFormat="1" applyFont="1" applyFill="1" applyAlignment="1">
      <alignment horizontal="center"/>
    </xf>
    <xf numFmtId="49" fontId="0" fillId="5" borderId="0" xfId="0" applyNumberFormat="1" applyFont="1" applyFill="1" applyAlignment="1">
      <alignment/>
    </xf>
    <xf numFmtId="1" fontId="65" fillId="5" borderId="11" xfId="0" applyNumberFormat="1" applyFont="1" applyFill="1" applyBorder="1" applyAlignment="1">
      <alignment vertical="center" wrapText="1"/>
    </xf>
    <xf numFmtId="49" fontId="8" fillId="5" borderId="0" xfId="0" applyNumberFormat="1" applyFont="1" applyFill="1" applyBorder="1" applyAlignment="1" applyProtection="1">
      <alignment/>
      <protection/>
    </xf>
    <xf numFmtId="49" fontId="9" fillId="5" borderId="0" xfId="0" applyNumberFormat="1" applyFont="1" applyFill="1" applyAlignment="1" applyProtection="1">
      <alignment wrapText="1"/>
      <protection/>
    </xf>
    <xf numFmtId="164" fontId="0" fillId="33" borderId="0" xfId="42" applyNumberFormat="1" applyFont="1" applyFill="1" applyAlignment="1">
      <alignment/>
    </xf>
    <xf numFmtId="164" fontId="0" fillId="33" borderId="0" xfId="42" applyNumberFormat="1" applyFont="1" applyFill="1" applyAlignment="1">
      <alignment horizontal="center" vertical="center"/>
    </xf>
    <xf numFmtId="164" fontId="0" fillId="33" borderId="0" xfId="42" applyNumberFormat="1" applyFont="1" applyFill="1" applyBorder="1" applyAlignment="1">
      <alignment horizontal="center" vertical="center"/>
    </xf>
    <xf numFmtId="164" fontId="0" fillId="38" borderId="0" xfId="42" applyNumberFormat="1" applyFont="1" applyFill="1" applyAlignment="1" applyProtection="1">
      <alignment/>
      <protection locked="0"/>
    </xf>
    <xf numFmtId="0" fontId="0" fillId="33" borderId="0" xfId="0" applyNumberFormat="1" applyFont="1" applyFill="1" applyBorder="1" applyAlignment="1">
      <alignment/>
    </xf>
    <xf numFmtId="164" fontId="0" fillId="38" borderId="0" xfId="0" applyNumberFormat="1" applyFont="1" applyFill="1" applyAlignment="1" applyProtection="1">
      <alignment/>
      <protection locked="0"/>
    </xf>
    <xf numFmtId="164" fontId="0" fillId="33" borderId="0" xfId="0" applyNumberFormat="1" applyFont="1" applyFill="1" applyAlignment="1" applyProtection="1">
      <alignment/>
      <protection locked="0"/>
    </xf>
    <xf numFmtId="164" fontId="0" fillId="0" borderId="0" xfId="42" applyNumberFormat="1" applyFont="1" applyFill="1" applyAlignment="1">
      <alignment horizontal="center"/>
    </xf>
    <xf numFmtId="164" fontId="7" fillId="0" borderId="11" xfId="42" applyNumberFormat="1" applyFont="1" applyFill="1" applyBorder="1" applyAlignment="1" applyProtection="1">
      <alignment horizontal="center" vertical="center" wrapText="1"/>
      <protection/>
    </xf>
    <xf numFmtId="164" fontId="7" fillId="33" borderId="11" xfId="42" applyNumberFormat="1" applyFont="1" applyFill="1" applyBorder="1" applyAlignment="1" applyProtection="1">
      <alignment horizontal="center" vertical="center" wrapText="1"/>
      <protection/>
    </xf>
    <xf numFmtId="164" fontId="0" fillId="0" borderId="0" xfId="42" applyNumberFormat="1" applyFont="1" applyFill="1" applyAlignment="1" applyProtection="1">
      <alignment horizontal="center"/>
      <protection/>
    </xf>
    <xf numFmtId="164" fontId="0" fillId="0" borderId="0" xfId="42" applyNumberFormat="1" applyFont="1" applyFill="1" applyAlignment="1" applyProtection="1">
      <alignment/>
      <protection/>
    </xf>
    <xf numFmtId="164" fontId="9" fillId="0" borderId="0" xfId="42" applyNumberFormat="1" applyFont="1" applyFill="1" applyAlignment="1" applyProtection="1">
      <alignment horizontal="center" wrapText="1"/>
      <protection/>
    </xf>
    <xf numFmtId="164" fontId="0" fillId="33" borderId="0" xfId="42" applyNumberFormat="1" applyFont="1" applyFill="1" applyAlignment="1">
      <alignment horizontal="center"/>
    </xf>
    <xf numFmtId="0" fontId="0" fillId="38" borderId="0" xfId="0" applyNumberFormat="1" applyFont="1" applyFill="1" applyAlignment="1" applyProtection="1">
      <alignment/>
      <protection locked="0"/>
    </xf>
    <xf numFmtId="164" fontId="4" fillId="33" borderId="10" xfId="42" applyNumberFormat="1" applyFont="1" applyFill="1" applyBorder="1" applyAlignment="1">
      <alignment/>
    </xf>
    <xf numFmtId="164" fontId="4" fillId="33" borderId="0" xfId="42" applyNumberFormat="1" applyFont="1" applyFill="1" applyAlignment="1">
      <alignment/>
    </xf>
    <xf numFmtId="164" fontId="6" fillId="36" borderId="11" xfId="42" applyNumberFormat="1" applyFont="1" applyFill="1" applyBorder="1" applyAlignment="1" applyProtection="1">
      <alignment horizontal="center" vertical="center" wrapText="1"/>
      <protection/>
    </xf>
    <xf numFmtId="164" fontId="0" fillId="0" borderId="0" xfId="42" applyNumberFormat="1" applyFont="1" applyFill="1" applyBorder="1" applyAlignment="1" applyProtection="1">
      <alignment/>
      <protection/>
    </xf>
    <xf numFmtId="164" fontId="9" fillId="0" borderId="0" xfId="42" applyNumberFormat="1" applyFont="1" applyFill="1" applyAlignment="1" applyProtection="1">
      <alignment wrapText="1"/>
      <protection/>
    </xf>
    <xf numFmtId="164" fontId="68" fillId="38" borderId="11" xfId="42" applyNumberFormat="1" applyFont="1" applyFill="1" applyBorder="1" applyAlignment="1">
      <alignment vertical="center" wrapText="1"/>
    </xf>
    <xf numFmtId="164" fontId="65" fillId="5" borderId="11" xfId="42" applyNumberFormat="1" applyFont="1" applyFill="1" applyBorder="1" applyAlignment="1">
      <alignment vertical="center" wrapText="1"/>
    </xf>
    <xf numFmtId="164" fontId="11" fillId="39" borderId="11" xfId="42" applyNumberFormat="1" applyFont="1" applyFill="1" applyBorder="1" applyAlignment="1" applyProtection="1">
      <alignment horizontal="center" vertical="center" wrapText="1"/>
      <protection/>
    </xf>
    <xf numFmtId="164" fontId="11" fillId="39" borderId="13" xfId="42" applyNumberFormat="1" applyFont="1" applyFill="1" applyBorder="1" applyAlignment="1" applyProtection="1">
      <alignment vertical="center" wrapText="1"/>
      <protection locked="0"/>
    </xf>
    <xf numFmtId="3" fontId="69" fillId="35" borderId="11" xfId="0" applyNumberFormat="1" applyFont="1" applyFill="1" applyBorder="1" applyAlignment="1">
      <alignment vertical="center" wrapText="1"/>
    </xf>
    <xf numFmtId="164" fontId="69" fillId="35" borderId="11" xfId="42" applyNumberFormat="1" applyFont="1" applyFill="1" applyBorder="1" applyAlignment="1">
      <alignment vertical="center" wrapText="1"/>
    </xf>
    <xf numFmtId="164" fontId="7" fillId="39" borderId="11" xfId="42" applyNumberFormat="1" applyFont="1" applyFill="1" applyBorder="1" applyAlignment="1" applyProtection="1">
      <alignment horizontal="center" vertical="center"/>
      <protection locked="0"/>
    </xf>
    <xf numFmtId="164" fontId="7" fillId="39" borderId="13" xfId="42" applyNumberFormat="1" applyFont="1" applyFill="1" applyBorder="1" applyAlignment="1" applyProtection="1">
      <alignment vertical="center" wrapText="1"/>
      <protection locked="0"/>
    </xf>
    <xf numFmtId="164" fontId="12" fillId="39" borderId="13" xfId="42" applyNumberFormat="1" applyFont="1" applyFill="1" applyBorder="1" applyAlignment="1" applyProtection="1">
      <alignment vertical="center" wrapText="1"/>
      <protection locked="0"/>
    </xf>
    <xf numFmtId="164" fontId="12" fillId="39" borderId="11" xfId="42" applyNumberFormat="1" applyFont="1" applyFill="1" applyBorder="1" applyAlignment="1" applyProtection="1">
      <alignment horizontal="center" vertical="center"/>
      <protection locked="0"/>
    </xf>
    <xf numFmtId="164" fontId="11" fillId="39" borderId="11" xfId="42" applyNumberFormat="1" applyFont="1" applyFill="1" applyBorder="1" applyAlignment="1" applyProtection="1">
      <alignment horizontal="center" vertical="center"/>
      <protection locked="0"/>
    </xf>
    <xf numFmtId="164" fontId="7" fillId="39" borderId="11" xfId="42" applyNumberFormat="1" applyFont="1" applyFill="1" applyBorder="1" applyAlignment="1" applyProtection="1">
      <alignment horizontal="center"/>
      <protection locked="0"/>
    </xf>
    <xf numFmtId="164" fontId="7" fillId="39" borderId="11" xfId="42" applyNumberFormat="1" applyFont="1" applyFill="1" applyBorder="1" applyAlignment="1" applyProtection="1">
      <alignment horizontal="center" vertical="center"/>
      <protection locked="0"/>
    </xf>
    <xf numFmtId="164" fontId="12" fillId="39" borderId="11" xfId="42" applyNumberFormat="1" applyFont="1" applyFill="1" applyBorder="1" applyAlignment="1" applyProtection="1">
      <alignment horizontal="center" vertical="center"/>
      <protection locked="0"/>
    </xf>
    <xf numFmtId="164" fontId="12" fillId="39" borderId="11" xfId="42" applyNumberFormat="1" applyFont="1" applyFill="1" applyBorder="1" applyAlignment="1" applyProtection="1">
      <alignment horizontal="center"/>
      <protection locked="0"/>
    </xf>
    <xf numFmtId="164" fontId="7" fillId="39" borderId="11" xfId="44" applyNumberFormat="1" applyFont="1" applyFill="1" applyBorder="1" applyAlignment="1" applyProtection="1">
      <alignment horizontal="center" vertical="center"/>
      <protection locked="0"/>
    </xf>
    <xf numFmtId="164" fontId="7" fillId="39" borderId="11" xfId="44" applyNumberFormat="1" applyFont="1" applyFill="1" applyBorder="1" applyAlignment="1" applyProtection="1">
      <alignment horizontal="center" vertical="center"/>
      <protection/>
    </xf>
    <xf numFmtId="164" fontId="11" fillId="39" borderId="13" xfId="44" applyNumberFormat="1" applyFont="1" applyFill="1" applyBorder="1" applyAlignment="1" applyProtection="1">
      <alignment vertical="center" wrapText="1"/>
      <protection locked="0"/>
    </xf>
    <xf numFmtId="164" fontId="11" fillId="39" borderId="13" xfId="44" applyNumberFormat="1" applyFont="1" applyFill="1" applyBorder="1" applyAlignment="1" applyProtection="1">
      <alignment horizontal="center" vertical="center" wrapText="1"/>
      <protection/>
    </xf>
    <xf numFmtId="164" fontId="11" fillId="39" borderId="11" xfId="44" applyNumberFormat="1" applyFont="1" applyFill="1" applyBorder="1" applyAlignment="1" applyProtection="1">
      <alignment horizontal="center" vertical="center" wrapText="1"/>
      <protection/>
    </xf>
    <xf numFmtId="49" fontId="6" fillId="36" borderId="11" xfId="0" applyNumberFormat="1" applyFont="1" applyFill="1" applyBorder="1" applyAlignment="1" applyProtection="1">
      <alignment horizontal="center" vertical="center" wrapText="1"/>
      <protection/>
    </xf>
    <xf numFmtId="164" fontId="7" fillId="20" borderId="11" xfId="42" applyNumberFormat="1" applyFont="1" applyFill="1" applyBorder="1" applyAlignment="1" applyProtection="1">
      <alignment horizontal="center" vertical="center"/>
      <protection locked="0"/>
    </xf>
    <xf numFmtId="164" fontId="7" fillId="20" borderId="11" xfId="42" applyNumberFormat="1" applyFont="1" applyFill="1" applyBorder="1" applyAlignment="1" applyProtection="1">
      <alignment horizontal="center"/>
      <protection locked="0"/>
    </xf>
    <xf numFmtId="49" fontId="0" fillId="0" borderId="0" xfId="0" applyNumberFormat="1" applyFont="1" applyFill="1" applyAlignment="1" applyProtection="1">
      <alignment/>
      <protection locked="0"/>
    </xf>
    <xf numFmtId="49" fontId="3" fillId="0" borderId="0" xfId="0" applyNumberFormat="1" applyFont="1" applyFill="1" applyAlignment="1" applyProtection="1">
      <alignment/>
      <protection locked="0"/>
    </xf>
    <xf numFmtId="49" fontId="66" fillId="2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4" fillId="33" borderId="0" xfId="0" applyNumberFormat="1" applyFont="1" applyFill="1" applyAlignment="1" applyProtection="1">
      <alignment/>
      <protection locked="0"/>
    </xf>
    <xf numFmtId="1" fontId="10" fillId="33" borderId="0" xfId="0" applyNumberFormat="1" applyFont="1" applyFill="1" applyAlignment="1" applyProtection="1">
      <alignment horizontal="center"/>
      <protection locked="0"/>
    </xf>
    <xf numFmtId="1" fontId="4"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6" fillId="33" borderId="11" xfId="0" applyNumberFormat="1" applyFont="1" applyFill="1" applyBorder="1" applyAlignment="1" applyProtection="1">
      <alignment horizontal="center" vertical="center" wrapText="1"/>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wrapText="1"/>
      <protection locked="0"/>
    </xf>
    <xf numFmtId="49" fontId="7" fillId="20" borderId="11" xfId="0" applyNumberFormat="1" applyFont="1" applyFill="1" applyBorder="1" applyAlignment="1" applyProtection="1">
      <alignment horizontal="center" vertical="center" wrapText="1"/>
      <protection locked="0"/>
    </xf>
    <xf numFmtId="164" fontId="7" fillId="20" borderId="11" xfId="42" applyNumberFormat="1" applyFont="1" applyFill="1" applyBorder="1" applyAlignment="1" applyProtection="1">
      <alignment horizontal="center" vertical="center"/>
      <protection/>
    </xf>
    <xf numFmtId="49" fontId="6" fillId="34" borderId="11" xfId="0" applyNumberFormat="1" applyFont="1" applyFill="1" applyBorder="1" applyAlignment="1" applyProtection="1">
      <alignment horizontal="center" vertical="center" wrapText="1"/>
      <protection locked="0"/>
    </xf>
    <xf numFmtId="49" fontId="6" fillId="34" borderId="14"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center" vertical="center"/>
      <protection locked="0"/>
    </xf>
    <xf numFmtId="49" fontId="7" fillId="33" borderId="14" xfId="0" applyNumberFormat="1" applyFont="1" applyFill="1" applyBorder="1" applyAlignment="1" applyProtection="1">
      <alignment vertical="center"/>
      <protection locked="0"/>
    </xf>
    <xf numFmtId="164" fontId="7" fillId="33" borderId="11" xfId="42" applyNumberFormat="1" applyFont="1" applyFill="1" applyBorder="1" applyAlignment="1" applyProtection="1">
      <alignment horizontal="center" vertical="center"/>
      <protection locked="0"/>
    </xf>
    <xf numFmtId="49" fontId="7" fillId="33" borderId="0" xfId="0" applyNumberFormat="1" applyFont="1" applyFill="1" applyAlignment="1" applyProtection="1">
      <alignment/>
      <protection locked="0"/>
    </xf>
    <xf numFmtId="49" fontId="7" fillId="33" borderId="11" xfId="0" applyNumberFormat="1" applyFont="1" applyFill="1" applyBorder="1" applyAlignment="1" applyProtection="1">
      <alignment/>
      <protection locked="0"/>
    </xf>
    <xf numFmtId="49" fontId="7" fillId="33" borderId="14" xfId="0" applyNumberFormat="1" applyFont="1" applyFill="1" applyBorder="1" applyAlignment="1" applyProtection="1">
      <alignment vertical="center" wrapText="1"/>
      <protection locked="0"/>
    </xf>
    <xf numFmtId="164" fontId="7" fillId="20" borderId="13" xfId="42"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8" fillId="0" borderId="0" xfId="0" applyNumberFormat="1" applyFont="1" applyFill="1" applyBorder="1" applyAlignment="1" applyProtection="1">
      <alignment wrapText="1"/>
      <protection locked="0"/>
    </xf>
    <xf numFmtId="49" fontId="8" fillId="0" borderId="0" xfId="0" applyNumberFormat="1" applyFont="1" applyFill="1" applyBorder="1" applyAlignment="1" applyProtection="1">
      <alignment/>
      <protection locked="0"/>
    </xf>
    <xf numFmtId="49" fontId="9" fillId="0" borderId="0" xfId="0" applyNumberFormat="1" applyFont="1" applyFill="1" applyAlignment="1" applyProtection="1">
      <alignment wrapText="1"/>
      <protection locked="0"/>
    </xf>
    <xf numFmtId="49" fontId="70" fillId="20" borderId="0" xfId="0" applyNumberFormat="1" applyFont="1" applyFill="1" applyAlignment="1" applyProtection="1">
      <alignment wrapText="1"/>
      <protection locked="0"/>
    </xf>
    <xf numFmtId="49" fontId="9" fillId="0" borderId="0" xfId="0" applyNumberFormat="1" applyFont="1" applyFill="1" applyAlignment="1" applyProtection="1">
      <alignment horizontal="center" wrapText="1"/>
      <protection locked="0"/>
    </xf>
    <xf numFmtId="49" fontId="70" fillId="20" borderId="0" xfId="0" applyNumberFormat="1" applyFont="1" applyFill="1" applyAlignment="1" applyProtection="1">
      <alignment horizontal="center" wrapText="1"/>
      <protection locked="0"/>
    </xf>
    <xf numFmtId="49" fontId="0" fillId="33" borderId="0" xfId="0" applyNumberFormat="1" applyFont="1" applyFill="1" applyAlignment="1" applyProtection="1">
      <alignment horizontal="center"/>
      <protection locked="0"/>
    </xf>
    <xf numFmtId="49" fontId="66" fillId="20" borderId="0" xfId="0" applyNumberFormat="1" applyFont="1" applyFill="1" applyAlignment="1" applyProtection="1">
      <alignment horizontal="center"/>
      <protection locked="0"/>
    </xf>
    <xf numFmtId="49" fontId="14" fillId="0" borderId="0" xfId="0" applyNumberFormat="1" applyFont="1" applyAlignment="1">
      <alignment/>
    </xf>
    <xf numFmtId="49" fontId="15" fillId="0" borderId="11" xfId="0" applyNumberFormat="1" applyFont="1" applyBorder="1" applyAlignment="1">
      <alignment horizontal="center" vertical="center" wrapText="1"/>
    </xf>
    <xf numFmtId="49" fontId="16" fillId="0" borderId="0" xfId="0" applyNumberFormat="1" applyFont="1" applyAlignment="1">
      <alignment/>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justify" vertical="center"/>
    </xf>
    <xf numFmtId="164" fontId="17" fillId="40" borderId="11" xfId="42" applyNumberFormat="1" applyFont="1" applyFill="1" applyBorder="1" applyAlignment="1" applyProtection="1">
      <alignment horizontal="center" vertical="center"/>
      <protection locked="0"/>
    </xf>
    <xf numFmtId="49" fontId="9" fillId="0" borderId="0" xfId="0" applyNumberFormat="1" applyFont="1" applyAlignment="1">
      <alignment/>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justify" vertical="center"/>
    </xf>
    <xf numFmtId="164" fontId="9" fillId="33" borderId="11" xfId="42" applyNumberFormat="1" applyFont="1" applyFill="1" applyBorder="1" applyAlignment="1" applyProtection="1">
      <alignment horizontal="center" vertical="center"/>
      <protection locked="0"/>
    </xf>
    <xf numFmtId="164" fontId="9" fillId="41" borderId="11" xfId="42" applyNumberFormat="1" applyFont="1" applyFill="1" applyBorder="1" applyAlignment="1" applyProtection="1">
      <alignment horizontal="center" vertical="center"/>
      <protection locked="0"/>
    </xf>
    <xf numFmtId="164" fontId="17" fillId="33" borderId="11" xfId="42" applyNumberFormat="1" applyFont="1" applyFill="1" applyBorder="1" applyAlignment="1" applyProtection="1">
      <alignment horizontal="center" vertical="center"/>
      <protection locked="0"/>
    </xf>
    <xf numFmtId="49" fontId="0" fillId="0" borderId="0" xfId="0" applyNumberFormat="1" applyFont="1" applyAlignment="1">
      <alignment/>
    </xf>
    <xf numFmtId="2" fontId="9" fillId="0" borderId="11" xfId="0" applyNumberFormat="1" applyFont="1" applyBorder="1" applyAlignment="1">
      <alignment horizontal="justify" vertical="center" wrapText="1"/>
    </xf>
    <xf numFmtId="164" fontId="9" fillId="33" borderId="11" xfId="42" applyNumberFormat="1" applyFont="1" applyFill="1" applyBorder="1" applyAlignment="1" applyProtection="1">
      <alignment horizontal="center" vertical="center" wrapText="1"/>
      <protection locked="0"/>
    </xf>
    <xf numFmtId="49" fontId="18" fillId="0" borderId="0" xfId="0" applyNumberFormat="1" applyFont="1" applyAlignment="1">
      <alignment/>
    </xf>
    <xf numFmtId="49" fontId="17" fillId="0" borderId="0" xfId="0" applyNumberFormat="1" applyFont="1" applyAlignment="1">
      <alignment/>
    </xf>
    <xf numFmtId="49" fontId="9" fillId="0" borderId="0" xfId="0" applyNumberFormat="1" applyFont="1" applyAlignment="1">
      <alignment/>
    </xf>
    <xf numFmtId="49" fontId="0" fillId="0" borderId="0" xfId="0" applyNumberFormat="1" applyFont="1" applyAlignment="1">
      <alignment/>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justify" vertical="center"/>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justify" vertical="center"/>
    </xf>
    <xf numFmtId="49" fontId="19" fillId="0" borderId="0" xfId="0" applyNumberFormat="1" applyFont="1" applyAlignment="1">
      <alignment/>
    </xf>
    <xf numFmtId="49" fontId="5" fillId="0" borderId="0" xfId="0" applyNumberFormat="1" applyFont="1" applyAlignment="1">
      <alignment/>
    </xf>
    <xf numFmtId="49" fontId="0" fillId="20" borderId="0" xfId="0" applyNumberFormat="1" applyFont="1" applyFill="1" applyAlignment="1">
      <alignment/>
    </xf>
    <xf numFmtId="49" fontId="7" fillId="20" borderId="11" xfId="0" applyNumberFormat="1" applyFont="1" applyFill="1" applyBorder="1" applyAlignment="1" applyProtection="1">
      <alignment horizontal="center" vertical="center" wrapText="1"/>
      <protection/>
    </xf>
    <xf numFmtId="164" fontId="7" fillId="34" borderId="11" xfId="42" applyNumberFormat="1" applyFont="1" applyFill="1" applyBorder="1" applyAlignment="1" applyProtection="1">
      <alignment horizontal="center" vertical="center"/>
      <protection/>
    </xf>
    <xf numFmtId="164" fontId="7" fillId="20" borderId="11" xfId="42" applyNumberFormat="1" applyFont="1" applyFill="1" applyBorder="1" applyAlignment="1" applyProtection="1">
      <alignment horizontal="center" vertical="center"/>
      <protection/>
    </xf>
    <xf numFmtId="10" fontId="7" fillId="34" borderId="11" xfId="58" applyNumberFormat="1" applyFont="1" applyFill="1" applyBorder="1" applyAlignment="1" applyProtection="1">
      <alignment horizontal="center" vertical="center"/>
      <protection locked="0"/>
    </xf>
    <xf numFmtId="49" fontId="7" fillId="34" borderId="11" xfId="0" applyNumberFormat="1" applyFont="1" applyFill="1" applyBorder="1" applyAlignment="1" applyProtection="1">
      <alignment horizontal="center" vertical="center" wrapText="1"/>
      <protection/>
    </xf>
    <xf numFmtId="49" fontId="7" fillId="34" borderId="14" xfId="0" applyNumberFormat="1" applyFont="1" applyFill="1" applyBorder="1" applyAlignment="1" applyProtection="1">
      <alignment horizontal="left" vertical="center" wrapText="1"/>
      <protection/>
    </xf>
    <xf numFmtId="164" fontId="6" fillId="34" borderId="11" xfId="42" applyNumberFormat="1" applyFont="1" applyFill="1" applyBorder="1" applyAlignment="1" applyProtection="1">
      <alignment horizontal="center" vertical="center"/>
      <protection/>
    </xf>
    <xf numFmtId="164" fontId="6" fillId="20" borderId="11" xfId="42"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49" fontId="7" fillId="33" borderId="14" xfId="0" applyNumberFormat="1" applyFont="1" applyFill="1" applyBorder="1" applyAlignment="1" applyProtection="1">
      <alignment vertical="center"/>
      <protection/>
    </xf>
    <xf numFmtId="164" fontId="7" fillId="20" borderId="13" xfId="42" applyNumberFormat="1" applyFont="1" applyFill="1" applyBorder="1" applyAlignment="1" applyProtection="1">
      <alignment vertical="center" wrapText="1"/>
      <protection locked="0"/>
    </xf>
    <xf numFmtId="164" fontId="7" fillId="33" borderId="13" xfId="42" applyNumberFormat="1" applyFont="1" applyFill="1" applyBorder="1" applyAlignment="1" applyProtection="1">
      <alignment vertical="center" wrapText="1"/>
      <protection locked="0"/>
    </xf>
    <xf numFmtId="164" fontId="7" fillId="42" borderId="11" xfId="42" applyNumberFormat="1" applyFont="1" applyFill="1" applyBorder="1" applyAlignment="1" applyProtection="1">
      <alignment horizontal="center" vertical="center"/>
      <protection/>
    </xf>
    <xf numFmtId="49" fontId="7" fillId="33" borderId="0" xfId="0" applyNumberFormat="1" applyFont="1" applyFill="1" applyAlignment="1" applyProtection="1">
      <alignment/>
      <protection/>
    </xf>
    <xf numFmtId="49" fontId="7" fillId="33" borderId="11" xfId="0" applyNumberFormat="1" applyFont="1" applyFill="1" applyBorder="1" applyAlignment="1" applyProtection="1">
      <alignment/>
      <protection/>
    </xf>
    <xf numFmtId="49" fontId="7" fillId="33" borderId="14" xfId="0" applyNumberFormat="1" applyFont="1" applyFill="1" applyBorder="1" applyAlignment="1" applyProtection="1">
      <alignment vertical="center" wrapText="1"/>
      <protection/>
    </xf>
    <xf numFmtId="164" fontId="6" fillId="42" borderId="11" xfId="42"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49" fontId="7" fillId="33" borderId="14" xfId="0" applyNumberFormat="1" applyFont="1" applyFill="1" applyBorder="1" applyAlignment="1" applyProtection="1">
      <alignment vertical="center"/>
      <protection/>
    </xf>
    <xf numFmtId="49" fontId="7" fillId="33" borderId="0" xfId="0" applyNumberFormat="1" applyFont="1" applyFill="1" applyAlignment="1" applyProtection="1">
      <alignment/>
      <protection/>
    </xf>
    <xf numFmtId="49" fontId="7" fillId="33" borderId="11" xfId="0" applyNumberFormat="1" applyFont="1" applyFill="1" applyBorder="1" applyAlignment="1" applyProtection="1">
      <alignment/>
      <protection/>
    </xf>
    <xf numFmtId="49" fontId="7" fillId="33" borderId="14" xfId="0" applyNumberFormat="1" applyFont="1" applyFill="1" applyBorder="1" applyAlignment="1" applyProtection="1">
      <alignment vertical="center" wrapText="1"/>
      <protection/>
    </xf>
    <xf numFmtId="49" fontId="9" fillId="0" borderId="0" xfId="0" applyNumberFormat="1" applyFont="1" applyFill="1" applyAlignment="1">
      <alignment wrapText="1"/>
    </xf>
    <xf numFmtId="49" fontId="9" fillId="20" borderId="0" xfId="0" applyNumberFormat="1" applyFont="1" applyFill="1" applyAlignment="1">
      <alignment wrapText="1"/>
    </xf>
    <xf numFmtId="49" fontId="9" fillId="0" borderId="0" xfId="0" applyNumberFormat="1" applyFont="1" applyFill="1" applyAlignment="1">
      <alignment horizontal="center" wrapText="1"/>
    </xf>
    <xf numFmtId="49" fontId="9" fillId="20" borderId="0" xfId="0" applyNumberFormat="1" applyFont="1" applyFill="1" applyAlignment="1">
      <alignment horizontal="center" wrapText="1"/>
    </xf>
    <xf numFmtId="49" fontId="0" fillId="20" borderId="0" xfId="0" applyNumberFormat="1" applyFont="1" applyFill="1" applyAlignment="1">
      <alignment horizontal="center"/>
    </xf>
    <xf numFmtId="49" fontId="17" fillId="0" borderId="11" xfId="0" applyNumberFormat="1" applyFont="1" applyBorder="1" applyAlignment="1">
      <alignment horizontal="center" vertical="center" wrapText="1"/>
    </xf>
    <xf numFmtId="3" fontId="69" fillId="20" borderId="11" xfId="0" applyNumberFormat="1" applyFont="1" applyFill="1" applyBorder="1" applyAlignment="1" applyProtection="1">
      <alignment vertical="center" wrapText="1"/>
      <protection locked="0"/>
    </xf>
    <xf numFmtId="164" fontId="11" fillId="20" borderId="11" xfId="42" applyNumberFormat="1" applyFont="1" applyFill="1" applyBorder="1" applyAlignment="1" applyProtection="1">
      <alignment horizontal="center" vertical="center"/>
      <protection locked="0"/>
    </xf>
    <xf numFmtId="0" fontId="0" fillId="33" borderId="0" xfId="0" applyNumberFormat="1" applyFont="1" applyFill="1" applyAlignment="1" applyProtection="1">
      <alignment horizontal="center" vertical="center"/>
      <protection locked="0"/>
    </xf>
    <xf numFmtId="0" fontId="0" fillId="33" borderId="0" xfId="0" applyNumberFormat="1" applyFont="1" applyFill="1" applyBorder="1" applyAlignment="1" applyProtection="1">
      <alignment horizontal="center" vertical="center"/>
      <protection locked="0"/>
    </xf>
    <xf numFmtId="0" fontId="0" fillId="33" borderId="0" xfId="0" applyNumberFormat="1" applyFont="1" applyFill="1" applyBorder="1" applyAlignment="1" applyProtection="1">
      <alignment/>
      <protection locked="0"/>
    </xf>
    <xf numFmtId="164" fontId="0" fillId="33" borderId="0" xfId="0" applyNumberFormat="1" applyFont="1" applyFill="1" applyAlignment="1">
      <alignment/>
    </xf>
    <xf numFmtId="164" fontId="0" fillId="33" borderId="0" xfId="0" applyNumberFormat="1" applyFill="1" applyAlignment="1">
      <alignment/>
    </xf>
    <xf numFmtId="164" fontId="7" fillId="38" borderId="11" xfId="42" applyNumberFormat="1" applyFont="1" applyFill="1" applyBorder="1" applyAlignment="1" applyProtection="1">
      <alignment horizontal="center" vertical="center"/>
      <protection/>
    </xf>
    <xf numFmtId="49" fontId="66" fillId="0" borderId="0" xfId="0" applyNumberFormat="1" applyFont="1" applyFill="1" applyAlignment="1" applyProtection="1">
      <alignment/>
      <protection locked="0"/>
    </xf>
    <xf numFmtId="49" fontId="66" fillId="0" borderId="0" xfId="0" applyNumberFormat="1" applyFont="1" applyFill="1" applyAlignment="1" applyProtection="1">
      <alignment/>
      <protection locked="0"/>
    </xf>
    <xf numFmtId="0" fontId="14" fillId="0" borderId="0" xfId="0" applyNumberFormat="1" applyFont="1" applyAlignment="1">
      <alignment/>
    </xf>
    <xf numFmtId="0" fontId="16"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0" fontId="18" fillId="0" borderId="0" xfId="0" applyNumberFormat="1" applyFont="1" applyAlignment="1">
      <alignment/>
    </xf>
    <xf numFmtId="0" fontId="17"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164" fontId="9" fillId="0" borderId="0" xfId="0" applyNumberFormat="1" applyFont="1" applyAlignment="1">
      <alignment/>
    </xf>
    <xf numFmtId="164" fontId="5" fillId="0" borderId="0" xfId="0" applyNumberFormat="1" applyFont="1" applyAlignment="1">
      <alignment/>
    </xf>
    <xf numFmtId="0" fontId="0" fillId="0" borderId="0" xfId="0" applyNumberFormat="1" applyAlignment="1">
      <alignment/>
    </xf>
    <xf numFmtId="164" fontId="17" fillId="33" borderId="11" xfId="42" applyNumberFormat="1" applyFont="1" applyFill="1" applyBorder="1" applyAlignment="1" applyProtection="1">
      <alignment horizontal="right" vertical="center"/>
      <protection locked="0"/>
    </xf>
    <xf numFmtId="164" fontId="9" fillId="33" borderId="11" xfId="42" applyNumberFormat="1" applyFont="1" applyFill="1" applyBorder="1" applyAlignment="1" applyProtection="1">
      <alignment horizontal="right" vertical="center"/>
      <protection locked="0"/>
    </xf>
    <xf numFmtId="164" fontId="9" fillId="41" borderId="11" xfId="42" applyNumberFormat="1" applyFont="1" applyFill="1" applyBorder="1" applyAlignment="1" applyProtection="1">
      <alignment horizontal="right" vertical="center"/>
      <protection locked="0"/>
    </xf>
    <xf numFmtId="164" fontId="9" fillId="33" borderId="11" xfId="42" applyNumberFormat="1" applyFont="1" applyFill="1" applyBorder="1" applyAlignment="1" applyProtection="1">
      <alignment horizontal="right" vertical="center" wrapText="1"/>
      <protection locked="0"/>
    </xf>
    <xf numFmtId="164" fontId="18" fillId="33" borderId="11" xfId="42" applyNumberFormat="1" applyFont="1" applyFill="1" applyBorder="1" applyAlignment="1" applyProtection="1">
      <alignment horizontal="right" vertical="center"/>
      <protection locked="0"/>
    </xf>
    <xf numFmtId="164" fontId="71" fillId="0" borderId="11" xfId="42" applyNumberFormat="1" applyFont="1" applyBorder="1" applyAlignment="1">
      <alignment horizontal="right"/>
    </xf>
    <xf numFmtId="164" fontId="19" fillId="33" borderId="11" xfId="42" applyNumberFormat="1" applyFont="1" applyFill="1" applyBorder="1" applyAlignment="1" applyProtection="1">
      <alignment horizontal="right" vertical="center"/>
      <protection locked="0"/>
    </xf>
    <xf numFmtId="0" fontId="0" fillId="0" borderId="0" xfId="0" applyAlignment="1">
      <alignment wrapText="1"/>
    </xf>
    <xf numFmtId="0" fontId="3" fillId="0" borderId="0" xfId="0" applyFont="1" applyAlignment="1">
      <alignment wrapText="1"/>
    </xf>
    <xf numFmtId="0" fontId="7" fillId="0" borderId="11" xfId="0" applyFont="1" applyBorder="1" applyAlignment="1">
      <alignment horizontal="center"/>
    </xf>
    <xf numFmtId="0" fontId="7" fillId="0" borderId="11" xfId="0" applyFont="1" applyBorder="1" applyAlignment="1">
      <alignment horizontal="center" wrapText="1"/>
    </xf>
    <xf numFmtId="0" fontId="6" fillId="0" borderId="11" xfId="0" applyFont="1" applyBorder="1" applyAlignment="1">
      <alignment horizontal="center" wrapText="1"/>
    </xf>
    <xf numFmtId="164" fontId="6" fillId="0" borderId="11" xfId="42" applyNumberFormat="1" applyFont="1" applyBorder="1" applyAlignment="1" applyProtection="1">
      <alignment wrapText="1"/>
      <protection locked="0"/>
    </xf>
    <xf numFmtId="49" fontId="15" fillId="0" borderId="11" xfId="0" applyNumberFormat="1" applyFont="1" applyBorder="1" applyAlignment="1" applyProtection="1">
      <alignment horizontal="center"/>
      <protection locked="0"/>
    </xf>
    <xf numFmtId="49" fontId="15" fillId="33" borderId="11" xfId="0" applyNumberFormat="1" applyFont="1" applyFill="1" applyBorder="1" applyAlignment="1" applyProtection="1">
      <alignment horizontal="left"/>
      <protection locked="0"/>
    </xf>
    <xf numFmtId="164" fontId="7" fillId="0" borderId="11" xfId="42" applyNumberFormat="1" applyFont="1" applyBorder="1" applyAlignment="1" applyProtection="1">
      <alignment wrapText="1"/>
      <protection locked="0"/>
    </xf>
    <xf numFmtId="49" fontId="12" fillId="0" borderId="11" xfId="0" applyNumberFormat="1" applyFont="1" applyBorder="1" applyAlignment="1" applyProtection="1">
      <alignment horizontal="center"/>
      <protection locked="0"/>
    </xf>
    <xf numFmtId="49" fontId="12" fillId="33" borderId="11"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6" fillId="0" borderId="12" xfId="0" applyNumberFormat="1" applyFont="1" applyBorder="1" applyAlignment="1">
      <alignment horizontal="center"/>
    </xf>
    <xf numFmtId="164" fontId="8" fillId="0" borderId="12" xfId="42" applyNumberFormat="1" applyFont="1" applyFill="1" applyBorder="1" applyAlignment="1">
      <alignment wrapText="1"/>
    </xf>
    <xf numFmtId="164" fontId="2" fillId="33" borderId="0" xfId="42" applyNumberFormat="1" applyFont="1" applyFill="1" applyBorder="1" applyAlignment="1">
      <alignment horizontal="center" wrapText="1"/>
    </xf>
    <xf numFmtId="164" fontId="2" fillId="33" borderId="0" xfId="42" applyNumberFormat="1" applyFont="1" applyFill="1" applyBorder="1" applyAlignment="1">
      <alignment horizontal="center"/>
    </xf>
    <xf numFmtId="164" fontId="8" fillId="33" borderId="0" xfId="42" applyNumberFormat="1" applyFont="1" applyFill="1" applyBorder="1" applyAlignment="1">
      <alignment horizontal="center"/>
    </xf>
    <xf numFmtId="49" fontId="8" fillId="0" borderId="0" xfId="0" applyNumberFormat="1" applyFont="1" applyAlignment="1">
      <alignment/>
    </xf>
    <xf numFmtId="49" fontId="8" fillId="0" borderId="0" xfId="0" applyNumberFormat="1" applyFont="1" applyFill="1" applyBorder="1" applyAlignment="1">
      <alignment wrapText="1"/>
    </xf>
    <xf numFmtId="164" fontId="2" fillId="0" borderId="0" xfId="42" applyNumberFormat="1" applyFont="1" applyFill="1" applyAlignment="1">
      <alignment/>
    </xf>
    <xf numFmtId="49" fontId="8" fillId="0" borderId="0" xfId="0" applyNumberFormat="1" applyFont="1" applyFill="1" applyBorder="1" applyAlignment="1">
      <alignment/>
    </xf>
    <xf numFmtId="49" fontId="2" fillId="0" borderId="0" xfId="0" applyNumberFormat="1" applyFont="1" applyFill="1" applyBorder="1" applyAlignment="1">
      <alignment/>
    </xf>
    <xf numFmtId="49" fontId="8" fillId="33" borderId="0" xfId="0" applyNumberFormat="1" applyFont="1" applyFill="1" applyBorder="1" applyAlignment="1">
      <alignment/>
    </xf>
    <xf numFmtId="164" fontId="2" fillId="0" borderId="0" xfId="42" applyNumberFormat="1" applyFont="1" applyAlignment="1">
      <alignment/>
    </xf>
    <xf numFmtId="49" fontId="2" fillId="0" borderId="0" xfId="0" applyNumberFormat="1" applyFont="1" applyAlignment="1">
      <alignment/>
    </xf>
    <xf numFmtId="164" fontId="2" fillId="0" borderId="0" xfId="42" applyNumberFormat="1" applyFont="1" applyAlignment="1">
      <alignment/>
    </xf>
    <xf numFmtId="0" fontId="3" fillId="0" borderId="0" xfId="0" applyFont="1" applyAlignment="1">
      <alignment/>
    </xf>
    <xf numFmtId="0" fontId="0" fillId="0" borderId="0" xfId="0" applyAlignment="1">
      <alignment/>
    </xf>
    <xf numFmtId="0" fontId="66" fillId="0" borderId="0" xfId="0" applyFont="1" applyAlignment="1" applyProtection="1">
      <alignment/>
      <protection locked="0"/>
    </xf>
    <xf numFmtId="164" fontId="7" fillId="33" borderId="0" xfId="42" applyNumberFormat="1" applyFont="1" applyFill="1" applyBorder="1" applyAlignment="1">
      <alignment horizontal="center"/>
    </xf>
    <xf numFmtId="49" fontId="8" fillId="0" borderId="0" xfId="0" applyNumberFormat="1" applyFont="1" applyFill="1" applyBorder="1" applyAlignment="1">
      <alignment vertical="center" wrapText="1"/>
    </xf>
    <xf numFmtId="49" fontId="12" fillId="0" borderId="11" xfId="0" applyNumberFormat="1" applyFont="1" applyFill="1" applyBorder="1" applyAlignment="1" applyProtection="1">
      <alignment horizontal="center"/>
      <protection locked="0"/>
    </xf>
    <xf numFmtId="164" fontId="7" fillId="0" borderId="11" xfId="42" applyNumberFormat="1" applyFont="1" applyFill="1" applyBorder="1" applyAlignment="1" applyProtection="1">
      <alignment wrapText="1"/>
      <protection locked="0"/>
    </xf>
    <xf numFmtId="164" fontId="6" fillId="0" borderId="11" xfId="42" applyNumberFormat="1" applyFont="1" applyFill="1" applyBorder="1" applyAlignment="1" applyProtection="1">
      <alignment wrapText="1"/>
      <protection locked="0"/>
    </xf>
    <xf numFmtId="0" fontId="66" fillId="0" borderId="0" xfId="0" applyFont="1" applyFill="1" applyAlignment="1" applyProtection="1">
      <alignment/>
      <protection locked="0"/>
    </xf>
    <xf numFmtId="0" fontId="0" fillId="0" borderId="0" xfId="0" applyFill="1" applyAlignment="1">
      <alignment/>
    </xf>
    <xf numFmtId="0" fontId="3" fillId="0" borderId="0" xfId="0" applyFont="1" applyAlignment="1">
      <alignment vertical="center"/>
    </xf>
    <xf numFmtId="0" fontId="12"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72" fillId="0" borderId="11" xfId="0" applyFont="1" applyFill="1" applyBorder="1" applyAlignment="1">
      <alignment horizontal="center" vertical="center" wrapText="1"/>
    </xf>
    <xf numFmtId="49" fontId="15" fillId="34" borderId="11" xfId="0" applyNumberFormat="1" applyFont="1" applyFill="1" applyBorder="1" applyAlignment="1" applyProtection="1">
      <alignment horizontal="center" vertical="center" wrapText="1"/>
      <protection/>
    </xf>
    <xf numFmtId="49" fontId="15" fillId="42" borderId="11" xfId="0" applyNumberFormat="1" applyFont="1" applyFill="1" applyBorder="1" applyAlignment="1" applyProtection="1">
      <alignment vertical="center" wrapText="1"/>
      <protection/>
    </xf>
    <xf numFmtId="164" fontId="21" fillId="42" borderId="11" xfId="42" applyNumberFormat="1" applyFont="1" applyFill="1" applyBorder="1" applyAlignment="1">
      <alignment/>
    </xf>
    <xf numFmtId="164" fontId="0" fillId="0" borderId="0" xfId="0" applyNumberFormat="1" applyAlignment="1">
      <alignment/>
    </xf>
    <xf numFmtId="49" fontId="12" fillId="33" borderId="11" xfId="0" applyNumberFormat="1" applyFont="1" applyFill="1" applyBorder="1" applyAlignment="1" applyProtection="1">
      <alignment horizontal="center" vertical="center"/>
      <protection/>
    </xf>
    <xf numFmtId="49" fontId="12" fillId="33" borderId="11" xfId="0" applyNumberFormat="1" applyFont="1" applyFill="1" applyBorder="1" applyAlignment="1" applyProtection="1">
      <alignment vertical="center"/>
      <protection/>
    </xf>
    <xf numFmtId="164" fontId="11" fillId="42" borderId="11" xfId="42" applyNumberFormat="1" applyFont="1" applyFill="1" applyBorder="1" applyAlignment="1">
      <alignment/>
    </xf>
    <xf numFmtId="164" fontId="11" fillId="42" borderId="11" xfId="42" applyNumberFormat="1" applyFont="1" applyFill="1" applyBorder="1" applyAlignment="1">
      <alignment vertical="center" wrapText="1"/>
    </xf>
    <xf numFmtId="49" fontId="12" fillId="33" borderId="11" xfId="0" applyNumberFormat="1" applyFont="1" applyFill="1" applyBorder="1" applyAlignment="1">
      <alignment/>
    </xf>
    <xf numFmtId="49" fontId="12" fillId="33" borderId="11" xfId="0" applyNumberFormat="1" applyFont="1" applyFill="1" applyBorder="1" applyAlignment="1" applyProtection="1">
      <alignment vertical="center" wrapText="1"/>
      <protection/>
    </xf>
    <xf numFmtId="49" fontId="15" fillId="42" borderId="11" xfId="0" applyNumberFormat="1" applyFont="1" applyFill="1" applyBorder="1" applyAlignment="1" applyProtection="1">
      <alignment horizontal="left" vertical="center" wrapText="1"/>
      <protection/>
    </xf>
    <xf numFmtId="164" fontId="7" fillId="0" borderId="11" xfId="0" applyNumberFormat="1" applyFont="1" applyBorder="1" applyAlignment="1">
      <alignment/>
    </xf>
    <xf numFmtId="164" fontId="7" fillId="0" borderId="0" xfId="0" applyNumberFormat="1" applyFont="1" applyAlignment="1">
      <alignment/>
    </xf>
    <xf numFmtId="164" fontId="21" fillId="42" borderId="14" xfId="42" applyNumberFormat="1" applyFont="1" applyFill="1" applyBorder="1" applyAlignment="1">
      <alignment/>
    </xf>
    <xf numFmtId="164" fontId="21" fillId="42" borderId="11" xfId="42" applyNumberFormat="1" applyFont="1" applyFill="1" applyBorder="1" applyAlignment="1">
      <alignment vertical="center" wrapText="1"/>
    </xf>
    <xf numFmtId="164" fontId="6" fillId="0" borderId="11" xfId="0" applyNumberFormat="1" applyFont="1" applyBorder="1" applyAlignment="1">
      <alignment/>
    </xf>
    <xf numFmtId="164" fontId="6" fillId="0" borderId="0" xfId="0" applyNumberFormat="1" applyFont="1" applyAlignment="1">
      <alignment/>
    </xf>
    <xf numFmtId="0" fontId="3" fillId="0" borderId="0" xfId="0" applyFont="1" applyAlignment="1">
      <alignment/>
    </xf>
    <xf numFmtId="0" fontId="72" fillId="0" borderId="14" xfId="0" applyFont="1" applyFill="1" applyBorder="1" applyAlignment="1">
      <alignment horizontal="center" vertical="center" wrapText="1"/>
    </xf>
    <xf numFmtId="164" fontId="7" fillId="0" borderId="14" xfId="0" applyNumberFormat="1" applyFont="1" applyBorder="1" applyAlignment="1">
      <alignment/>
    </xf>
    <xf numFmtId="164" fontId="6" fillId="0" borderId="14" xfId="0" applyNumberFormat="1" applyFont="1" applyBorder="1" applyAlignment="1">
      <alignment/>
    </xf>
    <xf numFmtId="0" fontId="3" fillId="0" borderId="0" xfId="0" applyFont="1" applyBorder="1" applyAlignment="1">
      <alignment vertical="center"/>
    </xf>
    <xf numFmtId="0" fontId="0" fillId="0" borderId="0" xfId="0" applyBorder="1" applyAlignment="1">
      <alignment/>
    </xf>
    <xf numFmtId="164" fontId="7" fillId="34" borderId="0" xfId="42" applyNumberFormat="1" applyFont="1" applyFill="1" applyBorder="1" applyAlignment="1" applyProtection="1">
      <alignment horizontal="center" vertical="center"/>
      <protection locked="0"/>
    </xf>
    <xf numFmtId="164" fontId="7" fillId="34" borderId="0" xfId="42" applyNumberFormat="1" applyFont="1" applyFill="1" applyBorder="1" applyAlignment="1" applyProtection="1">
      <alignment horizontal="center" vertical="center"/>
      <protection locked="0"/>
    </xf>
    <xf numFmtId="164" fontId="6" fillId="34" borderId="0" xfId="42" applyNumberFormat="1" applyFont="1" applyFill="1" applyBorder="1" applyAlignment="1" applyProtection="1">
      <alignment horizontal="center" vertical="center"/>
      <protection locked="0"/>
    </xf>
    <xf numFmtId="164" fontId="7" fillId="0" borderId="0" xfId="0" applyNumberFormat="1" applyFont="1" applyBorder="1" applyAlignment="1">
      <alignment/>
    </xf>
    <xf numFmtId="164" fontId="2" fillId="0" borderId="0" xfId="42" applyNumberFormat="1" applyFont="1" applyFill="1" applyAlignment="1" applyProtection="1">
      <alignment horizontal="center" wrapText="1"/>
      <protection locked="0"/>
    </xf>
    <xf numFmtId="43" fontId="2" fillId="0" borderId="0" xfId="42" applyFont="1" applyFill="1" applyAlignment="1" applyProtection="1">
      <alignment horizontal="center" wrapText="1"/>
      <protection locked="0"/>
    </xf>
    <xf numFmtId="0" fontId="7" fillId="33" borderId="14" xfId="0" applyNumberFormat="1" applyFont="1" applyFill="1" applyBorder="1" applyAlignment="1" applyProtection="1">
      <alignment horizontal="center" vertical="center" wrapText="1"/>
      <protection locked="0"/>
    </xf>
    <xf numFmtId="0" fontId="7" fillId="33" borderId="15" xfId="0" applyNumberFormat="1" applyFont="1" applyFill="1" applyBorder="1" applyAlignment="1" applyProtection="1">
      <alignment horizontal="center" vertical="center" wrapText="1"/>
      <protection locked="0"/>
    </xf>
    <xf numFmtId="49" fontId="6" fillId="33" borderId="14" xfId="0" applyNumberFormat="1" applyFont="1" applyFill="1" applyBorder="1" applyAlignment="1" applyProtection="1">
      <alignment horizontal="center" vertical="center" wrapText="1"/>
      <protection locked="0"/>
    </xf>
    <xf numFmtId="49" fontId="6" fillId="33" borderId="16" xfId="0" applyNumberFormat="1" applyFont="1" applyFill="1" applyBorder="1" applyAlignment="1" applyProtection="1">
      <alignment horizontal="center" vertical="center" wrapText="1"/>
      <protection locked="0"/>
    </xf>
    <xf numFmtId="14" fontId="8" fillId="0" borderId="12" xfId="42" applyNumberFormat="1" applyFont="1" applyFill="1" applyBorder="1" applyAlignment="1" applyProtection="1">
      <alignment horizontal="center" wrapText="1"/>
      <protection locked="0"/>
    </xf>
    <xf numFmtId="43" fontId="8" fillId="0" borderId="12" xfId="42" applyFont="1" applyFill="1" applyBorder="1" applyAlignment="1" applyProtection="1">
      <alignment horizontal="center" wrapText="1"/>
      <protection locked="0"/>
    </xf>
    <xf numFmtId="14" fontId="8" fillId="0" borderId="12" xfId="42" applyNumberFormat="1" applyFont="1" applyFill="1" applyBorder="1" applyAlignment="1" applyProtection="1">
      <alignment horizontal="center" vertical="center" wrapText="1"/>
      <protection locked="0"/>
    </xf>
    <xf numFmtId="43" fontId="8" fillId="0" borderId="12" xfId="42"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pplyProtection="1">
      <alignment horizontal="center" wrapText="1"/>
      <protection locked="0"/>
    </xf>
    <xf numFmtId="0" fontId="2" fillId="0" borderId="0" xfId="0" applyFont="1" applyAlignment="1">
      <alignment horizontal="center" wrapText="1"/>
    </xf>
    <xf numFmtId="49" fontId="6" fillId="33" borderId="11"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9" fontId="6" fillId="33" borderId="15" xfId="0" applyNumberFormat="1" applyFont="1" applyFill="1" applyBorder="1" applyAlignment="1" applyProtection="1">
      <alignment horizontal="center" vertical="center" wrapText="1"/>
      <protection locked="0"/>
    </xf>
    <xf numFmtId="1" fontId="6" fillId="33" borderId="17" xfId="0" applyNumberFormat="1" applyFont="1" applyFill="1" applyBorder="1" applyAlignment="1" applyProtection="1">
      <alignment horizontal="center" vertical="center" wrapText="1"/>
      <protection locked="0"/>
    </xf>
    <xf numFmtId="1" fontId="6" fillId="33" borderId="18" xfId="0" applyNumberFormat="1" applyFont="1" applyFill="1" applyBorder="1" applyAlignment="1" applyProtection="1">
      <alignment horizontal="center" vertical="center" wrapText="1"/>
      <protection locked="0"/>
    </xf>
    <xf numFmtId="1" fontId="6" fillId="33" borderId="19" xfId="0" applyNumberFormat="1" applyFont="1" applyFill="1" applyBorder="1" applyAlignment="1" applyProtection="1">
      <alignment horizontal="center" vertical="center" wrapText="1"/>
      <protection locked="0"/>
    </xf>
    <xf numFmtId="49" fontId="6" fillId="33" borderId="20" xfId="0" applyNumberFormat="1" applyFont="1" applyFill="1" applyBorder="1" applyAlignment="1" applyProtection="1">
      <alignment horizontal="center" vertical="center" wrapText="1"/>
      <protection locked="0"/>
    </xf>
    <xf numFmtId="49" fontId="6" fillId="33" borderId="21" xfId="0" applyNumberFormat="1" applyFont="1" applyFill="1" applyBorder="1" applyAlignment="1" applyProtection="1">
      <alignment horizontal="center" vertical="center" wrapText="1"/>
      <protection locked="0"/>
    </xf>
    <xf numFmtId="49" fontId="6" fillId="20" borderId="11"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2" fillId="0" borderId="0" xfId="0" applyNumberFormat="1" applyFont="1" applyFill="1" applyBorder="1" applyAlignment="1" applyProtection="1">
      <alignment horizontal="center" vertical="top" wrapText="1"/>
      <protection locked="0"/>
    </xf>
    <xf numFmtId="43" fontId="0" fillId="0" borderId="0" xfId="42"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right"/>
      <protection locked="0"/>
    </xf>
    <xf numFmtId="0" fontId="6" fillId="33" borderId="20" xfId="0" applyNumberFormat="1" applyFont="1" applyFill="1" applyBorder="1" applyAlignment="1" applyProtection="1">
      <alignment horizontal="center" vertical="center" wrapText="1"/>
      <protection locked="0"/>
    </xf>
    <xf numFmtId="0" fontId="6" fillId="33" borderId="21" xfId="0" applyNumberFormat="1" applyFont="1" applyFill="1" applyBorder="1" applyAlignment="1" applyProtection="1">
      <alignment horizontal="center" vertical="center" wrapText="1"/>
      <protection locked="0"/>
    </xf>
    <xf numFmtId="0" fontId="6" fillId="33" borderId="13" xfId="0" applyNumberFormat="1" applyFont="1" applyFill="1" applyBorder="1" applyAlignment="1" applyProtection="1">
      <alignment horizontal="center" vertical="center" wrapText="1"/>
      <protection locked="0"/>
    </xf>
    <xf numFmtId="49" fontId="6" fillId="33" borderId="13" xfId="0" applyNumberFormat="1" applyFont="1" applyFill="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wrapText="1"/>
      <protection/>
    </xf>
    <xf numFmtId="49" fontId="13" fillId="0" borderId="10" xfId="0" applyNumberFormat="1" applyFont="1" applyBorder="1" applyAlignment="1" applyProtection="1">
      <alignment horizontal="center" vertical="center"/>
      <protection/>
    </xf>
    <xf numFmtId="49" fontId="15" fillId="0" borderId="14"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0" fontId="9" fillId="0" borderId="12" xfId="0" applyNumberFormat="1" applyFont="1" applyBorder="1" applyAlignment="1" applyProtection="1">
      <alignment horizontal="justify" vertical="center" wrapText="1"/>
      <protection/>
    </xf>
    <xf numFmtId="49" fontId="73" fillId="0" borderId="0" xfId="0" applyNumberFormat="1" applyFont="1" applyAlignment="1" applyProtection="1">
      <alignment horizontal="left"/>
      <protection/>
    </xf>
    <xf numFmtId="0" fontId="7" fillId="33" borderId="14"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49" fontId="7" fillId="33" borderId="14" xfId="0" applyNumberFormat="1" applyFont="1" applyFill="1" applyBorder="1" applyAlignment="1" applyProtection="1">
      <alignment horizontal="center" vertical="center" wrapText="1"/>
      <protection/>
    </xf>
    <xf numFmtId="49" fontId="7" fillId="33" borderId="16" xfId="0" applyNumberFormat="1" applyFont="1" applyFill="1" applyBorder="1" applyAlignment="1" applyProtection="1">
      <alignment horizontal="center" vertical="center" wrapText="1"/>
      <protection/>
    </xf>
    <xf numFmtId="14" fontId="8" fillId="0" borderId="12" xfId="42" applyNumberFormat="1" applyFont="1" applyFill="1" applyBorder="1" applyAlignment="1" applyProtection="1">
      <alignment horizontal="center" wrapText="1"/>
      <protection/>
    </xf>
    <xf numFmtId="43" fontId="8" fillId="0" borderId="12" xfId="42" applyFont="1" applyFill="1" applyBorder="1" applyAlignment="1" applyProtection="1">
      <alignment horizontal="center" wrapText="1"/>
      <protection/>
    </xf>
    <xf numFmtId="49" fontId="6" fillId="0" borderId="14" xfId="0" applyNumberFormat="1" applyFont="1" applyFill="1" applyBorder="1" applyAlignment="1" applyProtection="1">
      <alignment horizontal="center" vertical="center" wrapText="1"/>
      <protection/>
    </xf>
    <xf numFmtId="49" fontId="6" fillId="36" borderId="11" xfId="0" applyNumberFormat="1"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xf>
    <xf numFmtId="49" fontId="6" fillId="33" borderId="16" xfId="0" applyNumberFormat="1" applyFont="1" applyFill="1" applyBorder="1" applyAlignment="1" applyProtection="1">
      <alignment horizontal="center" vertical="center" wrapText="1"/>
      <protection/>
    </xf>
    <xf numFmtId="1" fontId="6" fillId="33" borderId="20" xfId="0" applyNumberFormat="1" applyFont="1" applyFill="1" applyBorder="1" applyAlignment="1" applyProtection="1">
      <alignment horizontal="center" vertical="center" wrapText="1"/>
      <protection/>
    </xf>
    <xf numFmtId="1" fontId="6" fillId="33" borderId="21" xfId="0" applyNumberFormat="1" applyFont="1" applyFill="1" applyBorder="1" applyAlignment="1" applyProtection="1">
      <alignment horizontal="center" vertical="center" wrapText="1"/>
      <protection/>
    </xf>
    <xf numFmtId="1" fontId="6" fillId="33" borderId="13" xfId="0" applyNumberFormat="1" applyFont="1" applyFill="1" applyBorder="1" applyAlignment="1" applyProtection="1">
      <alignment horizontal="center" vertical="center" wrapText="1"/>
      <protection/>
    </xf>
    <xf numFmtId="49" fontId="6" fillId="33" borderId="20" xfId="0" applyNumberFormat="1" applyFont="1" applyFill="1" applyBorder="1" applyAlignment="1" applyProtection="1">
      <alignment horizontal="center" vertical="center" wrapText="1"/>
      <protection/>
    </xf>
    <xf numFmtId="49" fontId="6" fillId="33" borderId="21" xfId="0" applyNumberFormat="1" applyFont="1" applyFill="1" applyBorder="1" applyAlignment="1" applyProtection="1">
      <alignment horizontal="center" vertical="center" wrapText="1"/>
      <protection/>
    </xf>
    <xf numFmtId="49" fontId="6" fillId="20" borderId="11"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3" fontId="0" fillId="0" borderId="0" xfId="42" applyFont="1" applyFill="1" applyBorder="1" applyAlignment="1">
      <alignment horizontal="left" vertical="top" wrapText="1"/>
    </xf>
    <xf numFmtId="49" fontId="5" fillId="0" borderId="10" xfId="0" applyNumberFormat="1" applyFont="1" applyFill="1" applyBorder="1" applyAlignment="1">
      <alignment horizontal="right"/>
    </xf>
    <xf numFmtId="0" fontId="6" fillId="33" borderId="20"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49" fontId="13"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xf>
    <xf numFmtId="49" fontId="17" fillId="0" borderId="14"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49" fontId="73" fillId="0" borderId="0" xfId="0" applyNumberFormat="1" applyFont="1" applyAlignment="1">
      <alignment horizontal="left"/>
    </xf>
    <xf numFmtId="0" fontId="6" fillId="33" borderId="20" xfId="0" applyNumberFormat="1" applyFont="1" applyFill="1" applyBorder="1" applyAlignment="1">
      <alignment horizontal="center" vertical="center" wrapText="1"/>
    </xf>
    <xf numFmtId="0" fontId="6" fillId="33" borderId="2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 fontId="6" fillId="33" borderId="20" xfId="0" applyNumberFormat="1" applyFont="1" applyFill="1" applyBorder="1" applyAlignment="1">
      <alignment horizontal="center" vertical="center" wrapText="1"/>
    </xf>
    <xf numFmtId="1" fontId="6" fillId="33" borderId="21"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49" fontId="6" fillId="5" borderId="11" xfId="0" applyNumberFormat="1" applyFont="1" applyFill="1" applyBorder="1" applyAlignment="1" applyProtection="1">
      <alignment horizontal="center" vertical="center" wrapText="1"/>
      <protection/>
    </xf>
    <xf numFmtId="49" fontId="6" fillId="5"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164" fontId="6" fillId="36" borderId="11" xfId="42" applyNumberFormat="1" applyFont="1" applyFill="1" applyBorder="1" applyAlignment="1" applyProtection="1">
      <alignment horizontal="center" vertical="center" wrapText="1"/>
      <protection/>
    </xf>
    <xf numFmtId="164" fontId="6" fillId="33" borderId="11" xfId="42" applyNumberFormat="1" applyFont="1" applyFill="1" applyBorder="1" applyAlignment="1">
      <alignment horizontal="center" vertical="center" wrapText="1"/>
    </xf>
    <xf numFmtId="164" fontId="6" fillId="0" borderId="11" xfId="42" applyNumberFormat="1" applyFont="1" applyFill="1" applyBorder="1" applyAlignment="1">
      <alignment horizontal="center" vertical="center" wrapText="1"/>
    </xf>
    <xf numFmtId="164" fontId="2" fillId="0" borderId="0" xfId="42" applyNumberFormat="1" applyFont="1" applyFill="1" applyAlignment="1" applyProtection="1">
      <alignment horizontal="center" wrapText="1"/>
      <protection/>
    </xf>
    <xf numFmtId="43" fontId="2" fillId="0" borderId="0" xfId="42" applyFont="1" applyFill="1" applyAlignment="1" applyProtection="1">
      <alignment horizontal="center" wrapText="1"/>
      <protection/>
    </xf>
    <xf numFmtId="0" fontId="7" fillId="33" borderId="14"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14" fontId="8" fillId="0" borderId="12" xfId="42" applyNumberFormat="1" applyFont="1" applyFill="1" applyBorder="1" applyAlignment="1" applyProtection="1">
      <alignment horizontal="center" vertical="center" wrapText="1"/>
      <protection/>
    </xf>
    <xf numFmtId="43" fontId="8" fillId="0" borderId="12" xfId="42"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wrapText="1"/>
      <protection/>
    </xf>
    <xf numFmtId="49" fontId="8" fillId="0" borderId="0" xfId="0" applyNumberFormat="1" applyFont="1" applyFill="1" applyBorder="1" applyAlignment="1" applyProtection="1">
      <alignment horizontal="center" wrapText="1"/>
      <protection/>
    </xf>
    <xf numFmtId="0" fontId="2" fillId="0" borderId="0" xfId="0" applyFont="1" applyAlignment="1" applyProtection="1">
      <alignment horizontal="center" wrapText="1"/>
      <protection/>
    </xf>
    <xf numFmtId="49" fontId="0" fillId="0" borderId="0" xfId="0" applyNumberFormat="1" applyFont="1" applyFill="1" applyAlignment="1">
      <alignment horizontal="left" vertical="top" wrapText="1"/>
    </xf>
    <xf numFmtId="49" fontId="8" fillId="0" borderId="0" xfId="0" applyNumberFormat="1" applyFont="1" applyFill="1" applyBorder="1" applyAlignment="1" applyProtection="1">
      <alignment horizontal="center" vertical="top" wrapText="1"/>
      <protection locked="0"/>
    </xf>
    <xf numFmtId="43" fontId="0" fillId="0" borderId="0" xfId="42" applyFont="1" applyFill="1" applyBorder="1" applyAlignment="1">
      <alignment horizontal="left" vertical="top" wrapText="1"/>
    </xf>
    <xf numFmtId="0" fontId="7" fillId="33" borderId="20" xfId="0" applyNumberFormat="1"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49" fontId="11" fillId="36" borderId="11" xfId="0" applyNumberFormat="1" applyFont="1" applyFill="1" applyBorder="1" applyAlignment="1" applyProtection="1">
      <alignment horizontal="center" vertical="center" wrapText="1"/>
      <protection/>
    </xf>
    <xf numFmtId="49" fontId="7" fillId="36" borderId="11" xfId="0" applyNumberFormat="1" applyFont="1" applyFill="1" applyBorder="1" applyAlignment="1" applyProtection="1">
      <alignment horizontal="center" vertical="center" wrapText="1"/>
      <protection/>
    </xf>
    <xf numFmtId="49" fontId="7" fillId="33"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 fontId="7" fillId="33" borderId="20" xfId="0" applyNumberFormat="1" applyFont="1" applyFill="1" applyBorder="1" applyAlignment="1">
      <alignment horizontal="center" vertical="center" wrapText="1"/>
    </xf>
    <xf numFmtId="1" fontId="7" fillId="33" borderId="21" xfId="0" applyNumberFormat="1" applyFont="1" applyFill="1" applyBorder="1" applyAlignment="1">
      <alignment horizontal="center" vertical="center" wrapText="1"/>
    </xf>
    <xf numFmtId="1" fontId="7" fillId="33" borderId="13" xfId="0" applyNumberFormat="1" applyFont="1" applyFill="1" applyBorder="1" applyAlignment="1">
      <alignment horizontal="center" vertical="center" wrapText="1"/>
    </xf>
    <xf numFmtId="49" fontId="7" fillId="33" borderId="20" xfId="0" applyNumberFormat="1" applyFont="1" applyFill="1" applyBorder="1" applyAlignment="1" applyProtection="1">
      <alignment horizontal="center" vertical="center" wrapText="1"/>
      <protection/>
    </xf>
    <xf numFmtId="49" fontId="7" fillId="33" borderId="21" xfId="0" applyNumberFormat="1" applyFont="1" applyFill="1" applyBorder="1" applyAlignment="1" applyProtection="1">
      <alignment horizontal="center" vertical="center" wrapText="1"/>
      <protection/>
    </xf>
    <xf numFmtId="49" fontId="7" fillId="0" borderId="14" xfId="0" applyNumberFormat="1" applyFont="1" applyFill="1" applyBorder="1" applyAlignment="1">
      <alignment horizontal="center" vertical="center" wrapText="1"/>
    </xf>
    <xf numFmtId="164" fontId="2" fillId="0" borderId="0" xfId="42" applyNumberFormat="1" applyFont="1" applyAlignment="1">
      <alignment horizontal="center"/>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center"/>
    </xf>
    <xf numFmtId="0" fontId="6" fillId="0" borderId="11" xfId="0" applyFont="1" applyBorder="1" applyAlignment="1" applyProtection="1">
      <alignment horizontal="center"/>
      <protection locked="0"/>
    </xf>
    <xf numFmtId="164" fontId="8" fillId="0" borderId="12" xfId="42" applyNumberFormat="1" applyFont="1" applyFill="1" applyBorder="1" applyAlignment="1">
      <alignment horizontal="center" wrapText="1"/>
    </xf>
    <xf numFmtId="164" fontId="8" fillId="0" borderId="12" xfId="42" applyNumberFormat="1" applyFont="1" applyBorder="1" applyAlignment="1">
      <alignment horizontal="center"/>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164" fontId="2" fillId="0" borderId="0" xfId="42" applyNumberFormat="1" applyFont="1" applyFill="1" applyAlignment="1">
      <alignment horizontal="center"/>
    </xf>
    <xf numFmtId="49" fontId="0" fillId="0" borderId="0" xfId="0" applyNumberFormat="1" applyFill="1" applyBorder="1" applyAlignment="1">
      <alignment horizontal="left" vertical="top" wrapText="1"/>
    </xf>
    <xf numFmtId="49" fontId="5" fillId="33" borderId="10" xfId="0" applyNumberFormat="1" applyFont="1" applyFill="1" applyBorder="1" applyAlignment="1">
      <alignment horizontal="right" vertical="top" wrapText="1"/>
    </xf>
    <xf numFmtId="0" fontId="3" fillId="0" borderId="0" xfId="0" applyFont="1" applyAlignment="1">
      <alignment horizontal="center" vertical="center"/>
    </xf>
    <xf numFmtId="0" fontId="5" fillId="0" borderId="0" xfId="0" applyFont="1" applyAlignment="1" applyProtection="1">
      <alignment horizontal="center" vertical="center"/>
      <protection locked="0"/>
    </xf>
    <xf numFmtId="0" fontId="20" fillId="0" borderId="0" xfId="0" applyFont="1" applyBorder="1" applyAlignment="1">
      <alignment horizontal="right"/>
    </xf>
    <xf numFmtId="49" fontId="15" fillId="0" borderId="20" xfId="0" applyNumberFormat="1" applyFont="1" applyFill="1" applyBorder="1" applyAlignment="1" applyProtection="1">
      <alignment horizontal="center" vertical="center" wrapText="1"/>
      <protection/>
    </xf>
    <xf numFmtId="49" fontId="15" fillId="0" borderId="13" xfId="0" applyNumberFormat="1" applyFont="1" applyFill="1" applyBorder="1" applyAlignment="1" applyProtection="1">
      <alignment horizontal="center" vertical="center" wrapText="1"/>
      <protection/>
    </xf>
    <xf numFmtId="0" fontId="15" fillId="43" borderId="11" xfId="0" applyFont="1" applyFill="1" applyBorder="1" applyAlignment="1">
      <alignment horizontal="center"/>
    </xf>
    <xf numFmtId="0" fontId="15" fillId="43" borderId="14" xfId="0" applyFont="1" applyFill="1" applyBorder="1" applyAlignment="1">
      <alignment horizontal="center"/>
    </xf>
    <xf numFmtId="0" fontId="15" fillId="44" borderId="11" xfId="0" applyFont="1" applyFill="1" applyBorder="1" applyAlignment="1">
      <alignment horizontal="center"/>
    </xf>
    <xf numFmtId="0" fontId="19" fillId="0" borderId="0" xfId="0" applyNumberFormat="1" applyFont="1" applyAlignment="1">
      <alignment/>
    </xf>
    <xf numFmtId="0" fontId="5" fillId="0" borderId="0" xfId="0" applyNumberFormat="1" applyFont="1" applyAlignment="1">
      <alignment/>
    </xf>
    <xf numFmtId="164" fontId="19" fillId="0" borderId="0" xfId="0" applyNumberFormat="1" applyFont="1" applyAlignment="1">
      <alignment/>
    </xf>
    <xf numFmtId="3" fontId="9" fillId="0" borderId="0" xfId="0"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7622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7622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7622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Bieu%20mau%20thong%20ke%2021.11.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ong%20Hop%20VP%203%20thang%202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ong%20Hop%20Cuc%203%20thang%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20Thong%20Ke\Cuc\Cuc%202020\Chinh%20Sua%20-%20TT%2006%20-%20Ha%20Nam%20BC%2012%20thang%2020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T08-BC%203%20thang%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Đơn vị nhận báo cáo: </v>
          </cell>
        </row>
        <row r="5">
          <cell r="C5" t="str">
            <v>CỤC TRƯỞNG</v>
          </cell>
        </row>
        <row r="6">
          <cell r="C6" t="str">
            <v>TRẦN ĐỨC TOẢN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Nhung"/>
      <sheetName val="01 Phuong"/>
      <sheetName val="01 Hiep"/>
      <sheetName val="01 quy"/>
      <sheetName val="01 hoan"/>
      <sheetName val="02 Nhung"/>
      <sheetName val="02 (bỏ)"/>
      <sheetName val="02 Phuong"/>
      <sheetName val="02 HIep"/>
      <sheetName val="02 Quy"/>
      <sheetName val="02 hoan"/>
      <sheetName val="03 Nhung"/>
      <sheetName val="03 Phuong"/>
      <sheetName val="03 Hiep"/>
      <sheetName val="03 Quy"/>
      <sheetName val="03 hoan"/>
      <sheetName val="04 Nhung"/>
      <sheetName val="04 -phuong"/>
      <sheetName val="04 Hiep"/>
      <sheetName val="04 Quy"/>
      <sheetName val="04 hoan"/>
      <sheetName val="05 Nhung"/>
      <sheetName val="05 Phuong"/>
      <sheetName val="05 Hiep"/>
      <sheetName val="05 Quy"/>
      <sheetName val="05 hoan"/>
      <sheetName val="01"/>
      <sheetName val="PT01"/>
      <sheetName val="02"/>
      <sheetName val="PT02"/>
      <sheetName val="03"/>
      <sheetName val="03 (bỏ)"/>
      <sheetName val="04"/>
      <sheetName val="04 (bỏ)"/>
      <sheetName val="05"/>
      <sheetName val="05 (bỏ)"/>
      <sheetName val="06"/>
      <sheetName val="07"/>
      <sheetName val="08"/>
      <sheetName val="09"/>
      <sheetName val="10"/>
      <sheetName val="11"/>
      <sheetName val="12"/>
      <sheetName val="TT"/>
      <sheetName val="PLChuaDieuKien"/>
    </sheetNames>
    <sheetDataSet>
      <sheetData sheetId="18">
        <row r="11">
          <cell r="E11">
            <v>10</v>
          </cell>
        </row>
      </sheetData>
      <sheetData sheetId="19">
        <row r="11">
          <cell r="E11">
            <v>24</v>
          </cell>
          <cell r="Q11">
            <v>11</v>
          </cell>
        </row>
      </sheetData>
      <sheetData sheetId="20">
        <row r="10">
          <cell r="E10">
            <v>2</v>
          </cell>
        </row>
        <row r="11">
          <cell r="Q11">
            <v>2</v>
          </cell>
        </row>
      </sheetData>
      <sheetData sheetId="21">
        <row r="11">
          <cell r="D11">
            <v>6799248</v>
          </cell>
          <cell r="Q11">
            <v>5566530</v>
          </cell>
        </row>
      </sheetData>
      <sheetData sheetId="22">
        <row r="11">
          <cell r="D11">
            <v>1547842</v>
          </cell>
          <cell r="Q11">
            <v>1179593</v>
          </cell>
        </row>
      </sheetData>
      <sheetData sheetId="23">
        <row r="11">
          <cell r="D11">
            <v>631350048</v>
          </cell>
        </row>
      </sheetData>
      <sheetData sheetId="24">
        <row r="11">
          <cell r="D11">
            <v>5049798</v>
          </cell>
          <cell r="Q11">
            <v>598871</v>
          </cell>
        </row>
      </sheetData>
      <sheetData sheetId="25">
        <row r="11">
          <cell r="D11">
            <v>61345</v>
          </cell>
          <cell r="Q11">
            <v>61345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
      <sheetName val="01 Vp"/>
      <sheetName val="01 Ly Nhan"/>
      <sheetName val="01 Binh Luc"/>
      <sheetName val="01 Duy Tien"/>
      <sheetName val="01 Thanh Liem"/>
      <sheetName val="01 Kim Bang"/>
      <sheetName val="01 Phu Ly"/>
      <sheetName val="02 VP"/>
      <sheetName val="02 Ly Nhan"/>
      <sheetName val="02 Binh Luc"/>
      <sheetName val="02 Duy Tien"/>
      <sheetName val="02 Kim Bang"/>
      <sheetName val="02 Thanh Liem"/>
      <sheetName val="02 Phu Ly"/>
      <sheetName val="03 VP "/>
      <sheetName val="03 Ly Nhan"/>
      <sheetName val="03 Duy Tien"/>
      <sheetName val="03 Thanh Liem"/>
      <sheetName val="03 Kim Bang"/>
      <sheetName val="03 Binh Luc"/>
      <sheetName val="03 Phu Ly"/>
      <sheetName val="04 VP"/>
      <sheetName val="04 Ly Nhan"/>
      <sheetName val="04 Binh luc"/>
      <sheetName val="04 Duy Tien"/>
      <sheetName val="04 Kim Bang"/>
      <sheetName val="04 Thanh Liem"/>
      <sheetName val="04 Phu Ly"/>
      <sheetName val="05 Vp"/>
      <sheetName val="05 Ly Nhan"/>
      <sheetName val="05 Binh Luc"/>
      <sheetName val="05 Duy Tien"/>
      <sheetName val="05 Kim Bang"/>
      <sheetName val="05 Thanh Liem"/>
      <sheetName val="05 Phu Ly"/>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Đơn vị nhận báo cáo: </v>
          </cell>
        </row>
        <row r="5">
          <cell r="C5" t="str">
            <v>CỤC TRƯỞNG</v>
          </cell>
        </row>
      </sheetData>
      <sheetData sheetId="1">
        <row r="11">
          <cell r="E11">
            <v>6</v>
          </cell>
        </row>
        <row r="12">
          <cell r="E12">
            <v>5</v>
          </cell>
          <cell r="Q12">
            <v>1</v>
          </cell>
        </row>
        <row r="13">
          <cell r="Q13">
            <v>0</v>
          </cell>
        </row>
        <row r="14">
          <cell r="E14">
            <v>0</v>
          </cell>
          <cell r="Q14">
            <v>0</v>
          </cell>
        </row>
        <row r="16">
          <cell r="E16">
            <v>38</v>
          </cell>
        </row>
        <row r="17">
          <cell r="E17">
            <v>1</v>
          </cell>
          <cell r="Q17">
            <v>0</v>
          </cell>
        </row>
        <row r="18">
          <cell r="E18">
            <v>1</v>
          </cell>
          <cell r="Q18">
            <v>0</v>
          </cell>
        </row>
        <row r="19">
          <cell r="E19">
            <v>0</v>
          </cell>
          <cell r="Q19">
            <v>0</v>
          </cell>
        </row>
        <row r="20">
          <cell r="E20">
            <v>0</v>
          </cell>
          <cell r="Q20">
            <v>0</v>
          </cell>
        </row>
        <row r="21">
          <cell r="E21">
            <v>0</v>
          </cell>
          <cell r="Q21">
            <v>0</v>
          </cell>
        </row>
        <row r="22">
          <cell r="E22">
            <v>0</v>
          </cell>
          <cell r="Q22">
            <v>0</v>
          </cell>
        </row>
        <row r="23">
          <cell r="E23">
            <v>1</v>
          </cell>
        </row>
        <row r="25">
          <cell r="E25">
            <v>6</v>
          </cell>
          <cell r="R25">
            <v>0</v>
          </cell>
        </row>
        <row r="26">
          <cell r="E26">
            <v>1</v>
          </cell>
          <cell r="R26">
            <v>0</v>
          </cell>
        </row>
        <row r="27">
          <cell r="R27">
            <v>0</v>
          </cell>
        </row>
        <row r="28">
          <cell r="E28">
            <v>0</v>
          </cell>
          <cell r="Q28">
            <v>0</v>
          </cell>
          <cell r="R28">
            <v>0</v>
          </cell>
        </row>
        <row r="29">
          <cell r="E29">
            <v>0</v>
          </cell>
          <cell r="Q29">
            <v>0</v>
          </cell>
          <cell r="R29">
            <v>0</v>
          </cell>
        </row>
        <row r="30">
          <cell r="R30">
            <v>0</v>
          </cell>
        </row>
        <row r="31">
          <cell r="E31">
            <v>0</v>
          </cell>
          <cell r="Q31">
            <v>0</v>
          </cell>
          <cell r="R31">
            <v>0</v>
          </cell>
        </row>
        <row r="32">
          <cell r="E32">
            <v>0</v>
          </cell>
          <cell r="Q32">
            <v>0</v>
          </cell>
          <cell r="R32">
            <v>0</v>
          </cell>
        </row>
        <row r="33">
          <cell r="E33">
            <v>0</v>
          </cell>
          <cell r="Q33">
            <v>0</v>
          </cell>
          <cell r="R33">
            <v>0</v>
          </cell>
        </row>
        <row r="34">
          <cell r="E34">
            <v>0</v>
          </cell>
          <cell r="Q34">
            <v>0</v>
          </cell>
          <cell r="R34">
            <v>0</v>
          </cell>
        </row>
        <row r="35">
          <cell r="E35">
            <v>0</v>
          </cell>
          <cell r="Q35">
            <v>0</v>
          </cell>
          <cell r="R35">
            <v>0</v>
          </cell>
        </row>
        <row r="36">
          <cell r="Q36">
            <v>0</v>
          </cell>
          <cell r="R36">
            <v>0</v>
          </cell>
        </row>
        <row r="37">
          <cell r="Q37">
            <v>0</v>
          </cell>
        </row>
      </sheetData>
      <sheetData sheetId="2">
        <row r="11">
          <cell r="E11">
            <v>10</v>
          </cell>
        </row>
        <row r="12">
          <cell r="E12">
            <v>3</v>
          </cell>
        </row>
        <row r="16">
          <cell r="E16">
            <v>76</v>
          </cell>
        </row>
        <row r="17">
          <cell r="E17">
            <v>1</v>
          </cell>
          <cell r="Q17">
            <v>1</v>
          </cell>
        </row>
        <row r="18">
          <cell r="E18">
            <v>7</v>
          </cell>
          <cell r="Q18">
            <v>5</v>
          </cell>
        </row>
        <row r="25">
          <cell r="E25">
            <v>12</v>
          </cell>
        </row>
        <row r="26">
          <cell r="E26">
            <v>2</v>
          </cell>
        </row>
        <row r="32">
          <cell r="E32">
            <v>3</v>
          </cell>
          <cell r="Q32">
            <v>3</v>
          </cell>
        </row>
      </sheetData>
      <sheetData sheetId="3">
        <row r="11">
          <cell r="E11">
            <v>10</v>
          </cell>
        </row>
        <row r="16">
          <cell r="E16">
            <v>32</v>
          </cell>
        </row>
        <row r="17">
          <cell r="E17">
            <v>0</v>
          </cell>
        </row>
        <row r="18">
          <cell r="E18">
            <v>12</v>
          </cell>
          <cell r="Q18">
            <v>3</v>
          </cell>
        </row>
        <row r="25">
          <cell r="E25">
            <v>5</v>
          </cell>
        </row>
        <row r="26">
          <cell r="E26">
            <v>2</v>
          </cell>
        </row>
        <row r="32">
          <cell r="E32">
            <v>2</v>
          </cell>
          <cell r="Q32">
            <v>1</v>
          </cell>
        </row>
      </sheetData>
      <sheetData sheetId="4">
        <row r="11">
          <cell r="E11">
            <v>8</v>
          </cell>
        </row>
        <row r="12">
          <cell r="E12">
            <v>6</v>
          </cell>
          <cell r="Q12">
            <v>3</v>
          </cell>
        </row>
        <row r="16">
          <cell r="E16">
            <v>17</v>
          </cell>
        </row>
        <row r="18">
          <cell r="E18">
            <v>4</v>
          </cell>
          <cell r="Q18">
            <v>1</v>
          </cell>
        </row>
        <row r="19">
          <cell r="E19">
            <v>1</v>
          </cell>
        </row>
        <row r="23">
          <cell r="E23">
            <v>2</v>
          </cell>
        </row>
        <row r="25">
          <cell r="E25">
            <v>14</v>
          </cell>
        </row>
        <row r="26">
          <cell r="E26">
            <v>4</v>
          </cell>
        </row>
        <row r="32">
          <cell r="E32">
            <v>9</v>
          </cell>
          <cell r="Q32">
            <v>4</v>
          </cell>
        </row>
        <row r="33">
          <cell r="E33">
            <v>1</v>
          </cell>
        </row>
      </sheetData>
      <sheetData sheetId="5">
        <row r="11">
          <cell r="E11">
            <v>22</v>
          </cell>
        </row>
        <row r="12">
          <cell r="E12">
            <v>5</v>
          </cell>
          <cell r="Q12">
            <v>2</v>
          </cell>
        </row>
        <row r="16">
          <cell r="E16">
            <v>86</v>
          </cell>
        </row>
        <row r="17">
          <cell r="E17">
            <v>0</v>
          </cell>
        </row>
        <row r="18">
          <cell r="E18">
            <v>7</v>
          </cell>
          <cell r="Q18">
            <v>5</v>
          </cell>
        </row>
        <row r="23">
          <cell r="E23">
            <v>1</v>
          </cell>
        </row>
        <row r="25">
          <cell r="E25">
            <v>17</v>
          </cell>
        </row>
        <row r="26">
          <cell r="E26">
            <v>4</v>
          </cell>
        </row>
        <row r="32">
          <cell r="E32">
            <v>11</v>
          </cell>
          <cell r="Q32">
            <v>2</v>
          </cell>
        </row>
      </sheetData>
      <sheetData sheetId="6">
        <row r="11">
          <cell r="E11">
            <v>10</v>
          </cell>
        </row>
        <row r="12">
          <cell r="E12">
            <v>1</v>
          </cell>
          <cell r="Q12">
            <v>1</v>
          </cell>
        </row>
        <row r="13">
          <cell r="Q13">
            <v>0</v>
          </cell>
        </row>
        <row r="14">
          <cell r="E14">
            <v>0</v>
          </cell>
          <cell r="Q14">
            <v>0</v>
          </cell>
        </row>
        <row r="16">
          <cell r="E16">
            <v>21</v>
          </cell>
        </row>
        <row r="17">
          <cell r="E17">
            <v>0</v>
          </cell>
          <cell r="Q17">
            <v>0</v>
          </cell>
        </row>
        <row r="18">
          <cell r="E18">
            <v>4</v>
          </cell>
          <cell r="Q18">
            <v>2</v>
          </cell>
        </row>
        <row r="25">
          <cell r="E25">
            <v>8</v>
          </cell>
          <cell r="R25">
            <v>0</v>
          </cell>
        </row>
        <row r="26">
          <cell r="E26">
            <v>1</v>
          </cell>
        </row>
        <row r="30">
          <cell r="R30">
            <v>0</v>
          </cell>
        </row>
        <row r="32">
          <cell r="E32">
            <v>5</v>
          </cell>
          <cell r="Q32">
            <v>1</v>
          </cell>
          <cell r="R32">
            <v>0</v>
          </cell>
        </row>
      </sheetData>
      <sheetData sheetId="7">
        <row r="11">
          <cell r="E11">
            <v>36</v>
          </cell>
        </row>
        <row r="12">
          <cell r="E12">
            <v>12</v>
          </cell>
          <cell r="Q12">
            <v>2</v>
          </cell>
        </row>
        <row r="13">
          <cell r="Q13">
            <v>0</v>
          </cell>
        </row>
        <row r="14">
          <cell r="E14">
            <v>0</v>
          </cell>
          <cell r="Q14">
            <v>0</v>
          </cell>
        </row>
        <row r="16">
          <cell r="E16">
            <v>80</v>
          </cell>
        </row>
        <row r="17">
          <cell r="Q17">
            <v>0</v>
          </cell>
        </row>
        <row r="18">
          <cell r="E18">
            <v>13</v>
          </cell>
          <cell r="Q18">
            <v>7</v>
          </cell>
        </row>
        <row r="19">
          <cell r="E19">
            <v>0</v>
          </cell>
          <cell r="Q19">
            <v>0</v>
          </cell>
        </row>
        <row r="20">
          <cell r="E20">
            <v>0</v>
          </cell>
          <cell r="Q20">
            <v>0</v>
          </cell>
        </row>
        <row r="21">
          <cell r="E21">
            <v>0</v>
          </cell>
          <cell r="Q21">
            <v>0</v>
          </cell>
        </row>
        <row r="22">
          <cell r="E22">
            <v>0</v>
          </cell>
          <cell r="Q22">
            <v>0</v>
          </cell>
        </row>
        <row r="23">
          <cell r="E23">
            <v>0</v>
          </cell>
        </row>
        <row r="25">
          <cell r="E25">
            <v>41</v>
          </cell>
          <cell r="R25">
            <v>0</v>
          </cell>
        </row>
        <row r="26">
          <cell r="E26">
            <v>11</v>
          </cell>
          <cell r="R26">
            <v>0</v>
          </cell>
        </row>
        <row r="27">
          <cell r="R27">
            <v>0</v>
          </cell>
        </row>
        <row r="28">
          <cell r="E28">
            <v>0</v>
          </cell>
          <cell r="Q28">
            <v>0</v>
          </cell>
          <cell r="R28">
            <v>0</v>
          </cell>
        </row>
        <row r="29">
          <cell r="E29">
            <v>0</v>
          </cell>
          <cell r="Q29">
            <v>0</v>
          </cell>
          <cell r="R29">
            <v>0</v>
          </cell>
        </row>
        <row r="30">
          <cell r="R30">
            <v>0</v>
          </cell>
        </row>
        <row r="31">
          <cell r="E31">
            <v>0</v>
          </cell>
          <cell r="Q31">
            <v>0</v>
          </cell>
          <cell r="R31">
            <v>0</v>
          </cell>
        </row>
        <row r="32">
          <cell r="E32">
            <v>12</v>
          </cell>
          <cell r="Q32">
            <v>1</v>
          </cell>
          <cell r="R32">
            <v>0</v>
          </cell>
        </row>
        <row r="33">
          <cell r="E33">
            <v>0</v>
          </cell>
          <cell r="Q33">
            <v>0</v>
          </cell>
          <cell r="R33">
            <v>0</v>
          </cell>
        </row>
        <row r="34">
          <cell r="E34">
            <v>0</v>
          </cell>
          <cell r="Q34">
            <v>0</v>
          </cell>
          <cell r="R34">
            <v>0</v>
          </cell>
        </row>
        <row r="35">
          <cell r="E35">
            <v>0</v>
          </cell>
          <cell r="Q35">
            <v>0</v>
          </cell>
          <cell r="R35">
            <v>0</v>
          </cell>
        </row>
        <row r="36">
          <cell r="Q36">
            <v>0</v>
          </cell>
          <cell r="R36">
            <v>0</v>
          </cell>
        </row>
        <row r="37">
          <cell r="Q37">
            <v>0</v>
          </cell>
          <cell r="R37">
            <v>0</v>
          </cell>
        </row>
      </sheetData>
      <sheetData sheetId="8">
        <row r="11">
          <cell r="D11">
            <v>360012</v>
          </cell>
          <cell r="O11">
            <v>0</v>
          </cell>
          <cell r="Q11">
            <v>161993</v>
          </cell>
        </row>
        <row r="12">
          <cell r="D12">
            <v>1239982</v>
          </cell>
          <cell r="Q12">
            <v>44740</v>
          </cell>
        </row>
        <row r="13">
          <cell r="D13">
            <v>0</v>
          </cell>
          <cell r="Q13">
            <v>0</v>
          </cell>
        </row>
        <row r="14">
          <cell r="D14">
            <v>0</v>
          </cell>
          <cell r="Q14">
            <v>0</v>
          </cell>
        </row>
        <row r="16">
          <cell r="D16">
            <v>9698517</v>
          </cell>
          <cell r="Q16">
            <v>6837215</v>
          </cell>
        </row>
        <row r="17">
          <cell r="D17">
            <v>2350</v>
          </cell>
          <cell r="Q17">
            <v>0</v>
          </cell>
        </row>
        <row r="18">
          <cell r="D18">
            <v>12000</v>
          </cell>
          <cell r="Q18">
            <v>0</v>
          </cell>
        </row>
        <row r="19">
          <cell r="D19">
            <v>0</v>
          </cell>
          <cell r="Q19">
            <v>0</v>
          </cell>
        </row>
        <row r="20">
          <cell r="D20">
            <v>0</v>
          </cell>
          <cell r="Q20">
            <v>0</v>
          </cell>
        </row>
        <row r="21">
          <cell r="D21">
            <v>0</v>
          </cell>
          <cell r="Q21">
            <v>0</v>
          </cell>
        </row>
        <row r="22">
          <cell r="D22">
            <v>0</v>
          </cell>
          <cell r="Q22">
            <v>0</v>
          </cell>
        </row>
        <row r="23">
          <cell r="D23">
            <v>12390</v>
          </cell>
          <cell r="Q23">
            <v>12390</v>
          </cell>
        </row>
        <row r="25">
          <cell r="D25">
            <v>3263191</v>
          </cell>
          <cell r="Q25">
            <v>0</v>
          </cell>
        </row>
        <row r="26">
          <cell r="D26">
            <v>629869839</v>
          </cell>
          <cell r="Q26">
            <v>0</v>
          </cell>
        </row>
        <row r="28">
          <cell r="D28">
            <v>0</v>
          </cell>
          <cell r="Q28">
            <v>0</v>
          </cell>
        </row>
        <row r="29">
          <cell r="D29">
            <v>0</v>
          </cell>
          <cell r="Q29">
            <v>0</v>
          </cell>
        </row>
        <row r="30">
          <cell r="D30">
            <v>350000</v>
          </cell>
          <cell r="Q30">
            <v>350000</v>
          </cell>
        </row>
        <row r="31">
          <cell r="D31">
            <v>0</v>
          </cell>
          <cell r="Q31">
            <v>0</v>
          </cell>
        </row>
        <row r="32">
          <cell r="D32">
            <v>0</v>
          </cell>
          <cell r="Q32">
            <v>0</v>
          </cell>
        </row>
        <row r="33">
          <cell r="D33">
            <v>0</v>
          </cell>
          <cell r="Q33">
            <v>0</v>
          </cell>
        </row>
        <row r="34">
          <cell r="D34">
            <v>0</v>
          </cell>
          <cell r="Q34">
            <v>0</v>
          </cell>
        </row>
        <row r="35">
          <cell r="D35">
            <v>0</v>
          </cell>
          <cell r="Q35">
            <v>0</v>
          </cell>
        </row>
        <row r="36">
          <cell r="D36">
            <v>0</v>
          </cell>
          <cell r="Q36">
            <v>0</v>
          </cell>
        </row>
        <row r="37">
          <cell r="D37">
            <v>0</v>
          </cell>
          <cell r="Q37">
            <v>0</v>
          </cell>
        </row>
      </sheetData>
      <sheetData sheetId="9">
        <row r="11">
          <cell r="D11">
            <v>137421</v>
          </cell>
          <cell r="Q11">
            <v>15626</v>
          </cell>
        </row>
        <row r="12">
          <cell r="D12">
            <v>51628</v>
          </cell>
        </row>
        <row r="16">
          <cell r="D16">
            <v>1748294</v>
          </cell>
          <cell r="Q16">
            <v>281227</v>
          </cell>
        </row>
        <row r="17">
          <cell r="D17">
            <v>2715</v>
          </cell>
          <cell r="Q17">
            <v>2715</v>
          </cell>
        </row>
        <row r="18">
          <cell r="D18">
            <v>30982</v>
          </cell>
          <cell r="Q18">
            <v>25332</v>
          </cell>
        </row>
        <row r="25">
          <cell r="D25">
            <v>2305412</v>
          </cell>
          <cell r="Q25">
            <v>535000</v>
          </cell>
        </row>
        <row r="26">
          <cell r="D26">
            <v>405190</v>
          </cell>
        </row>
        <row r="30">
          <cell r="D30">
            <v>399199</v>
          </cell>
          <cell r="Q30">
            <v>370000</v>
          </cell>
        </row>
        <row r="32">
          <cell r="D32">
            <v>96850</v>
          </cell>
          <cell r="Q32">
            <v>96850</v>
          </cell>
        </row>
      </sheetData>
      <sheetData sheetId="10">
        <row r="11">
          <cell r="D11">
            <v>92544</v>
          </cell>
        </row>
        <row r="16">
          <cell r="D16">
            <v>243111</v>
          </cell>
          <cell r="Q16">
            <v>62500</v>
          </cell>
        </row>
        <row r="18">
          <cell r="D18">
            <v>68005</v>
          </cell>
          <cell r="Q18">
            <v>16301</v>
          </cell>
        </row>
        <row r="25">
          <cell r="D25">
            <v>1623525</v>
          </cell>
          <cell r="Q25">
            <v>1320000</v>
          </cell>
        </row>
        <row r="26">
          <cell r="D26">
            <v>34924753</v>
          </cell>
          <cell r="Q26">
            <v>34881652</v>
          </cell>
        </row>
        <row r="30">
          <cell r="D30">
            <v>14822</v>
          </cell>
        </row>
        <row r="32">
          <cell r="D32">
            <v>509695</v>
          </cell>
          <cell r="Q32">
            <v>12000</v>
          </cell>
        </row>
      </sheetData>
      <sheetData sheetId="11">
        <row r="11">
          <cell r="D11">
            <v>187230</v>
          </cell>
          <cell r="Q11">
            <v>101995</v>
          </cell>
        </row>
        <row r="12">
          <cell r="D12">
            <v>223837</v>
          </cell>
          <cell r="Q12">
            <v>42924</v>
          </cell>
        </row>
        <row r="16">
          <cell r="D16">
            <v>284233</v>
          </cell>
          <cell r="Q16">
            <v>265928</v>
          </cell>
        </row>
        <row r="18">
          <cell r="D18">
            <v>71763</v>
          </cell>
        </row>
        <row r="19">
          <cell r="D19">
            <v>17710</v>
          </cell>
        </row>
        <row r="23">
          <cell r="D23">
            <v>6548</v>
          </cell>
        </row>
        <row r="25">
          <cell r="D25">
            <v>1364570</v>
          </cell>
          <cell r="Q25">
            <v>389788</v>
          </cell>
        </row>
        <row r="26">
          <cell r="D26">
            <v>7629078</v>
          </cell>
          <cell r="Q26">
            <v>1665456</v>
          </cell>
        </row>
        <row r="30">
          <cell r="D30">
            <v>400431</v>
          </cell>
          <cell r="Q30">
            <v>362126</v>
          </cell>
        </row>
        <row r="32">
          <cell r="D32">
            <v>105600</v>
          </cell>
          <cell r="Q32">
            <v>100100</v>
          </cell>
        </row>
        <row r="33">
          <cell r="D33">
            <v>835503</v>
          </cell>
        </row>
      </sheetData>
      <sheetData sheetId="12">
        <row r="11">
          <cell r="D11">
            <v>140030</v>
          </cell>
          <cell r="Q11">
            <v>88824</v>
          </cell>
        </row>
        <row r="12">
          <cell r="D12">
            <v>43897</v>
          </cell>
          <cell r="Q12">
            <v>43897</v>
          </cell>
        </row>
        <row r="15">
          <cell r="O15">
            <v>0</v>
          </cell>
          <cell r="P15">
            <v>0</v>
          </cell>
        </row>
        <row r="16">
          <cell r="D16">
            <v>372085</v>
          </cell>
          <cell r="Q16">
            <v>270730</v>
          </cell>
        </row>
        <row r="18">
          <cell r="D18">
            <v>81369</v>
          </cell>
          <cell r="Q18">
            <v>23739</v>
          </cell>
        </row>
        <row r="25">
          <cell r="D25">
            <v>3667586</v>
          </cell>
          <cell r="Q25">
            <v>2607476</v>
          </cell>
        </row>
        <row r="26">
          <cell r="D26">
            <v>3539714</v>
          </cell>
          <cell r="Q26">
            <v>3539714</v>
          </cell>
        </row>
        <row r="30">
          <cell r="D30">
            <v>400000</v>
          </cell>
        </row>
        <row r="32">
          <cell r="D32">
            <v>12000</v>
          </cell>
          <cell r="Q32">
            <v>0</v>
          </cell>
        </row>
      </sheetData>
      <sheetData sheetId="13">
        <row r="11">
          <cell r="D11">
            <v>338154</v>
          </cell>
          <cell r="Q11">
            <v>93796</v>
          </cell>
        </row>
        <row r="12">
          <cell r="D12">
            <v>254640</v>
          </cell>
          <cell r="Q12">
            <v>144515</v>
          </cell>
        </row>
        <row r="13">
          <cell r="D13">
            <v>0</v>
          </cell>
          <cell r="Q13">
            <v>0</v>
          </cell>
        </row>
        <row r="14">
          <cell r="D14">
            <v>0</v>
          </cell>
          <cell r="Q14">
            <v>0</v>
          </cell>
        </row>
        <row r="16">
          <cell r="D16">
            <v>917386</v>
          </cell>
          <cell r="Q16">
            <v>804282</v>
          </cell>
        </row>
        <row r="17">
          <cell r="D17">
            <v>0</v>
          </cell>
        </row>
        <row r="18">
          <cell r="D18">
            <v>91367</v>
          </cell>
          <cell r="Q18">
            <v>58293</v>
          </cell>
        </row>
        <row r="19">
          <cell r="D19">
            <v>0</v>
          </cell>
        </row>
        <row r="20">
          <cell r="D20">
            <v>0</v>
          </cell>
        </row>
        <row r="21">
          <cell r="D21">
            <v>0</v>
          </cell>
        </row>
        <row r="22">
          <cell r="D22">
            <v>0</v>
          </cell>
        </row>
        <row r="23">
          <cell r="D23">
            <v>3595</v>
          </cell>
        </row>
        <row r="25">
          <cell r="D25">
            <v>9425690</v>
          </cell>
          <cell r="Q25">
            <v>8039409</v>
          </cell>
        </row>
        <row r="26">
          <cell r="D26">
            <v>3722913</v>
          </cell>
          <cell r="Q26">
            <v>230000</v>
          </cell>
        </row>
        <row r="30">
          <cell r="D30">
            <v>393520</v>
          </cell>
          <cell r="Q30">
            <v>393520</v>
          </cell>
        </row>
        <row r="32">
          <cell r="D32">
            <v>204926</v>
          </cell>
          <cell r="Q32">
            <v>97000</v>
          </cell>
        </row>
      </sheetData>
      <sheetData sheetId="14">
        <row r="11">
          <cell r="D11">
            <v>574236</v>
          </cell>
          <cell r="O11">
            <v>0</v>
          </cell>
          <cell r="Q11">
            <v>357598</v>
          </cell>
        </row>
        <row r="12">
          <cell r="D12">
            <v>364689</v>
          </cell>
          <cell r="O12">
            <v>0</v>
          </cell>
          <cell r="P12">
            <v>0</v>
          </cell>
          <cell r="Q12">
            <v>33795</v>
          </cell>
        </row>
        <row r="13">
          <cell r="D13">
            <v>0</v>
          </cell>
          <cell r="O13">
            <v>0</v>
          </cell>
          <cell r="P13">
            <v>0</v>
          </cell>
          <cell r="Q13">
            <v>0</v>
          </cell>
        </row>
        <row r="14">
          <cell r="D14">
            <v>0</v>
          </cell>
          <cell r="O14">
            <v>0</v>
          </cell>
          <cell r="P14">
            <v>0</v>
          </cell>
          <cell r="Q14">
            <v>0</v>
          </cell>
        </row>
        <row r="15">
          <cell r="O15">
            <v>0</v>
          </cell>
          <cell r="P15">
            <v>0</v>
          </cell>
        </row>
        <row r="16">
          <cell r="D16">
            <v>852843</v>
          </cell>
          <cell r="O16">
            <v>0</v>
          </cell>
          <cell r="Q16">
            <v>317783</v>
          </cell>
        </row>
        <row r="17">
          <cell r="D17">
            <v>0</v>
          </cell>
          <cell r="O17">
            <v>0</v>
          </cell>
          <cell r="P17">
            <v>0</v>
          </cell>
          <cell r="Q17">
            <v>0</v>
          </cell>
        </row>
        <row r="18">
          <cell r="D18">
            <v>141968</v>
          </cell>
          <cell r="O18">
            <v>0</v>
          </cell>
          <cell r="P18">
            <v>0</v>
          </cell>
          <cell r="Q18">
            <v>37180</v>
          </cell>
        </row>
        <row r="19">
          <cell r="D19">
            <v>0</v>
          </cell>
          <cell r="O19">
            <v>0</v>
          </cell>
          <cell r="P19">
            <v>0</v>
          </cell>
          <cell r="Q19">
            <v>0</v>
          </cell>
        </row>
        <row r="20">
          <cell r="D20">
            <v>0</v>
          </cell>
          <cell r="O20">
            <v>0</v>
          </cell>
          <cell r="P20">
            <v>0</v>
          </cell>
          <cell r="Q20">
            <v>0</v>
          </cell>
        </row>
        <row r="21">
          <cell r="D21">
            <v>0</v>
          </cell>
          <cell r="O21">
            <v>0</v>
          </cell>
          <cell r="P21">
            <v>0</v>
          </cell>
          <cell r="Q21">
            <v>0</v>
          </cell>
        </row>
        <row r="22">
          <cell r="D22">
            <v>0</v>
          </cell>
          <cell r="O22">
            <v>0</v>
          </cell>
          <cell r="P22">
            <v>0</v>
          </cell>
          <cell r="Q22">
            <v>0</v>
          </cell>
        </row>
        <row r="23">
          <cell r="D23">
            <v>0</v>
          </cell>
          <cell r="O23">
            <v>0</v>
          </cell>
          <cell r="P23">
            <v>0</v>
          </cell>
          <cell r="Q23">
            <v>0</v>
          </cell>
        </row>
        <row r="25">
          <cell r="D25">
            <v>16543054</v>
          </cell>
          <cell r="Q25">
            <v>7209937</v>
          </cell>
        </row>
        <row r="26">
          <cell r="D26">
            <v>47067757</v>
          </cell>
          <cell r="Q26">
            <v>32554541</v>
          </cell>
        </row>
        <row r="28">
          <cell r="D28">
            <v>0</v>
          </cell>
          <cell r="Q28">
            <v>0</v>
          </cell>
        </row>
        <row r="29">
          <cell r="D29">
            <v>0</v>
          </cell>
          <cell r="Q29">
            <v>0</v>
          </cell>
        </row>
        <row r="30">
          <cell r="D30">
            <v>292731</v>
          </cell>
          <cell r="Q30">
            <v>244388</v>
          </cell>
        </row>
        <row r="31">
          <cell r="D31">
            <v>0</v>
          </cell>
          <cell r="Q31">
            <v>0</v>
          </cell>
        </row>
        <row r="32">
          <cell r="D32">
            <v>145574</v>
          </cell>
          <cell r="Q32">
            <v>0</v>
          </cell>
        </row>
        <row r="33">
          <cell r="D33">
            <v>0</v>
          </cell>
          <cell r="Q33">
            <v>0</v>
          </cell>
        </row>
        <row r="34">
          <cell r="D34">
            <v>0</v>
          </cell>
          <cell r="Q34">
            <v>0</v>
          </cell>
        </row>
        <row r="35">
          <cell r="D35">
            <v>0</v>
          </cell>
          <cell r="Q35">
            <v>0</v>
          </cell>
        </row>
        <row r="36">
          <cell r="D36">
            <v>0</v>
          </cell>
          <cell r="Q36">
            <v>0</v>
          </cell>
        </row>
        <row r="37">
          <cell r="D37">
            <v>0</v>
          </cell>
          <cell r="Q37">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Hà Nam
Đơn vị nhận báo cáo: Tổng Cục THADS</v>
          </cell>
        </row>
        <row r="3">
          <cell r="C3" t="str">
            <v>HOÀNG VĂN TUỆ</v>
          </cell>
        </row>
        <row r="5">
          <cell r="C5" t="str">
            <v> CỤC TRƯỞNG</v>
          </cell>
        </row>
        <row r="6">
          <cell r="C6" t="str">
            <v>Trần Đức Toản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Y42"/>
  <sheetViews>
    <sheetView view="pageBreakPreview" zoomScaleSheetLayoutView="100" zoomScalePageLayoutView="0" workbookViewId="0" topLeftCell="A1">
      <selection activeCell="P25" sqref="P25"/>
    </sheetView>
  </sheetViews>
  <sheetFormatPr defaultColWidth="9.00390625" defaultRowHeight="15.75"/>
  <cols>
    <col min="1" max="1" width="4.25390625" style="14" customWidth="1"/>
    <col min="2" max="2" width="25.50390625" style="14" customWidth="1"/>
    <col min="3" max="3" width="6.625" style="14" customWidth="1"/>
    <col min="4" max="4" width="7.625" style="14" customWidth="1"/>
    <col min="5" max="5" width="8.00390625" style="126" customWidth="1"/>
    <col min="6" max="6" width="6.50390625" style="14" customWidth="1"/>
    <col min="7" max="7" width="5.75390625" style="14" customWidth="1"/>
    <col min="8" max="8" width="5.375" style="14" customWidth="1"/>
    <col min="9" max="9" width="7.75390625" style="14" customWidth="1"/>
    <col min="10" max="10" width="6.75390625" style="14" customWidth="1"/>
    <col min="11" max="11" width="6.625" style="14" customWidth="1"/>
    <col min="12" max="12" width="7.125" style="14" customWidth="1"/>
    <col min="13" max="13" width="6.375" style="14" customWidth="1"/>
    <col min="14" max="14" width="6.75390625" style="156" customWidth="1"/>
    <col min="15" max="15" width="6.125" style="156" customWidth="1"/>
    <col min="16" max="16" width="5.625" style="156" customWidth="1"/>
    <col min="17" max="17" width="7.00390625" style="157" customWidth="1"/>
    <col min="18" max="18" width="7.00390625" style="156" customWidth="1"/>
    <col min="19" max="19" width="5.75390625" style="156" customWidth="1"/>
    <col min="20" max="20" width="8.125" style="156" customWidth="1"/>
    <col min="21" max="21" width="6.25390625" style="156" customWidth="1"/>
    <col min="22" max="23" width="9.00390625" style="43" customWidth="1"/>
    <col min="24" max="24" width="9.00390625" style="14" customWidth="1"/>
    <col min="25" max="25" width="9.00390625" style="43" customWidth="1"/>
    <col min="26" max="16384" width="9.00390625" style="14" customWidth="1"/>
  </cols>
  <sheetData>
    <row r="1" spans="1:21" ht="65.25" customHeight="1">
      <c r="A1" s="329" t="s">
        <v>94</v>
      </c>
      <c r="B1" s="329"/>
      <c r="C1" s="329"/>
      <c r="D1" s="329"/>
      <c r="E1" s="330" t="s">
        <v>176</v>
      </c>
      <c r="F1" s="330"/>
      <c r="G1" s="330"/>
      <c r="H1" s="330"/>
      <c r="I1" s="330"/>
      <c r="J1" s="330"/>
      <c r="K1" s="330"/>
      <c r="L1" s="330"/>
      <c r="M1" s="330"/>
      <c r="N1" s="330"/>
      <c r="O1" s="330"/>
      <c r="P1" s="331" t="str">
        <f>'[3]TT'!C2</f>
        <v>Đơn vị  báo cáo: 
Đơn vị nhận báo cáo: </v>
      </c>
      <c r="Q1" s="331"/>
      <c r="R1" s="331"/>
      <c r="S1" s="331"/>
      <c r="T1" s="331"/>
      <c r="U1" s="331"/>
    </row>
    <row r="2" spans="1:21" ht="17.25" customHeight="1">
      <c r="A2" s="124"/>
      <c r="B2" s="125"/>
      <c r="C2" s="125"/>
      <c r="D2" s="125"/>
      <c r="E2" s="221"/>
      <c r="F2" s="127"/>
      <c r="G2" s="127"/>
      <c r="H2" s="127"/>
      <c r="I2" s="128"/>
      <c r="J2" s="129"/>
      <c r="K2" s="130"/>
      <c r="L2" s="130"/>
      <c r="M2" s="130"/>
      <c r="N2" s="131"/>
      <c r="O2" s="131"/>
      <c r="P2" s="332" t="s">
        <v>1</v>
      </c>
      <c r="Q2" s="332"/>
      <c r="R2" s="332"/>
      <c r="S2" s="332"/>
      <c r="T2" s="332"/>
      <c r="U2" s="332"/>
    </row>
    <row r="3" spans="1:25" s="133" customFormat="1" ht="15.75" customHeight="1">
      <c r="A3" s="333" t="s">
        <v>2</v>
      </c>
      <c r="B3" s="333" t="s">
        <v>3</v>
      </c>
      <c r="C3" s="333" t="s">
        <v>4</v>
      </c>
      <c r="D3" s="326" t="s">
        <v>5</v>
      </c>
      <c r="E3" s="320" t="s">
        <v>6</v>
      </c>
      <c r="F3" s="320"/>
      <c r="G3" s="320" t="s">
        <v>7</v>
      </c>
      <c r="H3" s="321" t="s">
        <v>95</v>
      </c>
      <c r="I3" s="320" t="s">
        <v>9</v>
      </c>
      <c r="J3" s="311" t="s">
        <v>6</v>
      </c>
      <c r="K3" s="312"/>
      <c r="L3" s="312"/>
      <c r="M3" s="312"/>
      <c r="N3" s="312"/>
      <c r="O3" s="312"/>
      <c r="P3" s="312"/>
      <c r="Q3" s="312"/>
      <c r="R3" s="312"/>
      <c r="S3" s="322"/>
      <c r="T3" s="323" t="s">
        <v>10</v>
      </c>
      <c r="U3" s="326" t="s">
        <v>11</v>
      </c>
      <c r="V3" s="214"/>
      <c r="W3" s="214"/>
      <c r="Y3" s="214"/>
    </row>
    <row r="4" spans="1:25" s="134" customFormat="1" ht="15.75" customHeight="1">
      <c r="A4" s="334"/>
      <c r="B4" s="334"/>
      <c r="C4" s="334"/>
      <c r="D4" s="327"/>
      <c r="E4" s="328" t="s">
        <v>12</v>
      </c>
      <c r="F4" s="320" t="s">
        <v>13</v>
      </c>
      <c r="G4" s="320"/>
      <c r="H4" s="321"/>
      <c r="I4" s="320"/>
      <c r="J4" s="320" t="s">
        <v>14</v>
      </c>
      <c r="K4" s="320" t="s">
        <v>6</v>
      </c>
      <c r="L4" s="320"/>
      <c r="M4" s="320"/>
      <c r="N4" s="320"/>
      <c r="O4" s="320"/>
      <c r="P4" s="320"/>
      <c r="Q4" s="328" t="s">
        <v>15</v>
      </c>
      <c r="R4" s="320" t="s">
        <v>16</v>
      </c>
      <c r="S4" s="321" t="s">
        <v>17</v>
      </c>
      <c r="T4" s="324"/>
      <c r="U4" s="327"/>
      <c r="V4" s="215"/>
      <c r="W4" s="215"/>
      <c r="Y4" s="215"/>
    </row>
    <row r="5" spans="1:25" s="133" customFormat="1" ht="15.75" customHeight="1">
      <c r="A5" s="334"/>
      <c r="B5" s="334"/>
      <c r="C5" s="334"/>
      <c r="D5" s="327"/>
      <c r="E5" s="328"/>
      <c r="F5" s="320"/>
      <c r="G5" s="320"/>
      <c r="H5" s="321"/>
      <c r="I5" s="320"/>
      <c r="J5" s="320"/>
      <c r="K5" s="320" t="s">
        <v>18</v>
      </c>
      <c r="L5" s="320" t="s">
        <v>6</v>
      </c>
      <c r="M5" s="320"/>
      <c r="N5" s="320" t="s">
        <v>19</v>
      </c>
      <c r="O5" s="320" t="s">
        <v>20</v>
      </c>
      <c r="P5" s="320" t="s">
        <v>21</v>
      </c>
      <c r="Q5" s="328"/>
      <c r="R5" s="320"/>
      <c r="S5" s="321"/>
      <c r="T5" s="324"/>
      <c r="U5" s="327"/>
      <c r="V5" s="214"/>
      <c r="W5" s="214"/>
      <c r="Y5" s="214"/>
    </row>
    <row r="6" spans="1:25" s="133" customFormat="1" ht="15.75" customHeight="1">
      <c r="A6" s="334"/>
      <c r="B6" s="334"/>
      <c r="C6" s="334"/>
      <c r="D6" s="327"/>
      <c r="E6" s="328"/>
      <c r="F6" s="320"/>
      <c r="G6" s="320"/>
      <c r="H6" s="321"/>
      <c r="I6" s="320"/>
      <c r="J6" s="320"/>
      <c r="K6" s="320"/>
      <c r="L6" s="320"/>
      <c r="M6" s="320"/>
      <c r="N6" s="320"/>
      <c r="O6" s="320"/>
      <c r="P6" s="320"/>
      <c r="Q6" s="328"/>
      <c r="R6" s="320"/>
      <c r="S6" s="321"/>
      <c r="T6" s="324"/>
      <c r="U6" s="327"/>
      <c r="V6" s="214"/>
      <c r="W6" s="214"/>
      <c r="Y6" s="214"/>
    </row>
    <row r="7" spans="1:25" s="133" customFormat="1" ht="44.25" customHeight="1">
      <c r="A7" s="335"/>
      <c r="B7" s="335"/>
      <c r="C7" s="335"/>
      <c r="D7" s="336"/>
      <c r="E7" s="328"/>
      <c r="F7" s="320"/>
      <c r="G7" s="320"/>
      <c r="H7" s="321"/>
      <c r="I7" s="320"/>
      <c r="J7" s="320"/>
      <c r="K7" s="320"/>
      <c r="L7" s="132" t="s">
        <v>22</v>
      </c>
      <c r="M7" s="132" t="s">
        <v>23</v>
      </c>
      <c r="N7" s="320"/>
      <c r="O7" s="320"/>
      <c r="P7" s="320"/>
      <c r="Q7" s="328"/>
      <c r="R7" s="320"/>
      <c r="S7" s="321"/>
      <c r="T7" s="325"/>
      <c r="U7" s="327"/>
      <c r="V7" s="214"/>
      <c r="W7" s="214"/>
      <c r="Y7" s="214"/>
    </row>
    <row r="8" spans="1:25" ht="14.25" customHeight="1">
      <c r="A8" s="309" t="s">
        <v>24</v>
      </c>
      <c r="B8" s="310"/>
      <c r="C8" s="135" t="s">
        <v>25</v>
      </c>
      <c r="D8" s="135" t="s">
        <v>26</v>
      </c>
      <c r="E8" s="136" t="s">
        <v>27</v>
      </c>
      <c r="F8" s="135" t="s">
        <v>28</v>
      </c>
      <c r="G8" s="135" t="s">
        <v>29</v>
      </c>
      <c r="H8" s="135" t="s">
        <v>30</v>
      </c>
      <c r="I8" s="135" t="s">
        <v>31</v>
      </c>
      <c r="J8" s="135" t="s">
        <v>32</v>
      </c>
      <c r="K8" s="135" t="s">
        <v>33</v>
      </c>
      <c r="L8" s="135" t="s">
        <v>34</v>
      </c>
      <c r="M8" s="135" t="s">
        <v>35</v>
      </c>
      <c r="N8" s="135" t="s">
        <v>36</v>
      </c>
      <c r="O8" s="135" t="s">
        <v>37</v>
      </c>
      <c r="P8" s="135" t="s">
        <v>38</v>
      </c>
      <c r="Q8" s="136" t="s">
        <v>39</v>
      </c>
      <c r="R8" s="135" t="s">
        <v>40</v>
      </c>
      <c r="S8" s="135" t="s">
        <v>41</v>
      </c>
      <c r="T8" s="135" t="s">
        <v>42</v>
      </c>
      <c r="U8" s="135" t="s">
        <v>43</v>
      </c>
      <c r="Y8" s="87"/>
    </row>
    <row r="9" spans="1:23" ht="13.5" customHeight="1">
      <c r="A9" s="311" t="s">
        <v>44</v>
      </c>
      <c r="B9" s="312"/>
      <c r="C9" s="12">
        <f aca="true" t="shared" si="0" ref="C9:T9">C10+C24</f>
        <v>1558</v>
      </c>
      <c r="D9" s="12">
        <f t="shared" si="0"/>
        <v>1558</v>
      </c>
      <c r="E9" s="137">
        <f t="shared" si="0"/>
        <v>793</v>
      </c>
      <c r="F9" s="12">
        <f t="shared" si="0"/>
        <v>765</v>
      </c>
      <c r="G9" s="12">
        <f t="shared" si="0"/>
        <v>7</v>
      </c>
      <c r="H9" s="12">
        <f t="shared" si="0"/>
        <v>0</v>
      </c>
      <c r="I9" s="12">
        <f t="shared" si="0"/>
        <v>1551</v>
      </c>
      <c r="J9" s="12">
        <f t="shared" si="0"/>
        <v>1171</v>
      </c>
      <c r="K9" s="12">
        <f t="shared" si="0"/>
        <v>501</v>
      </c>
      <c r="L9" s="12">
        <f t="shared" si="0"/>
        <v>483</v>
      </c>
      <c r="M9" s="12">
        <f t="shared" si="0"/>
        <v>18</v>
      </c>
      <c r="N9" s="12">
        <f t="shared" si="0"/>
        <v>666</v>
      </c>
      <c r="O9" s="12">
        <f t="shared" si="0"/>
        <v>0</v>
      </c>
      <c r="P9" s="12">
        <f t="shared" si="0"/>
        <v>4</v>
      </c>
      <c r="Q9" s="137">
        <f t="shared" si="0"/>
        <v>373</v>
      </c>
      <c r="R9" s="12">
        <f t="shared" si="0"/>
        <v>0</v>
      </c>
      <c r="S9" s="12">
        <f t="shared" si="0"/>
        <v>7</v>
      </c>
      <c r="T9" s="12">
        <f t="shared" si="0"/>
        <v>1050</v>
      </c>
      <c r="U9" s="13">
        <f>IF(J9&lt;&gt;0,K9/J9,"")</f>
        <v>0.42783945345858243</v>
      </c>
      <c r="V9" s="87"/>
      <c r="W9" s="87"/>
    </row>
    <row r="10" spans="1:21" ht="13.5" customHeight="1">
      <c r="A10" s="138" t="s">
        <v>46</v>
      </c>
      <c r="B10" s="139" t="s">
        <v>96</v>
      </c>
      <c r="C10" s="12">
        <f>SUM(C11:C23)</f>
        <v>1266</v>
      </c>
      <c r="D10" s="12">
        <f aca="true" t="shared" si="1" ref="D10:S10">SUM(D11:D23)</f>
        <v>1266</v>
      </c>
      <c r="E10" s="137">
        <f t="shared" si="1"/>
        <v>586</v>
      </c>
      <c r="F10" s="12">
        <f t="shared" si="1"/>
        <v>680</v>
      </c>
      <c r="G10" s="12">
        <f t="shared" si="1"/>
        <v>4</v>
      </c>
      <c r="H10" s="12">
        <f t="shared" si="1"/>
        <v>0</v>
      </c>
      <c r="I10" s="12">
        <f t="shared" si="1"/>
        <v>1262</v>
      </c>
      <c r="J10" s="12">
        <f t="shared" si="1"/>
        <v>945</v>
      </c>
      <c r="K10" s="12">
        <f t="shared" si="1"/>
        <v>466</v>
      </c>
      <c r="L10" s="12">
        <f t="shared" si="1"/>
        <v>448</v>
      </c>
      <c r="M10" s="12">
        <f t="shared" si="1"/>
        <v>18</v>
      </c>
      <c r="N10" s="12">
        <f t="shared" si="1"/>
        <v>478</v>
      </c>
      <c r="O10" s="12">
        <f t="shared" si="1"/>
        <v>0</v>
      </c>
      <c r="P10" s="12">
        <f t="shared" si="1"/>
        <v>1</v>
      </c>
      <c r="Q10" s="137">
        <f t="shared" si="1"/>
        <v>313</v>
      </c>
      <c r="R10" s="12">
        <f t="shared" si="1"/>
        <v>0</v>
      </c>
      <c r="S10" s="12">
        <f t="shared" si="1"/>
        <v>4</v>
      </c>
      <c r="T10" s="12">
        <f>SUM(N10:S10)</f>
        <v>796</v>
      </c>
      <c r="U10" s="13">
        <f>IF(J10&lt;&gt;0,K10/J10,"")</f>
        <v>0.4931216931216931</v>
      </c>
    </row>
    <row r="11" spans="1:23" ht="13.5" customHeight="1">
      <c r="A11" s="140" t="s">
        <v>25</v>
      </c>
      <c r="B11" s="141" t="s">
        <v>97</v>
      </c>
      <c r="C11" s="142">
        <f>D11</f>
        <v>136</v>
      </c>
      <c r="D11" s="12">
        <f aca="true" t="shared" si="2" ref="D11:D23">E11+F11</f>
        <v>136</v>
      </c>
      <c r="E11" s="122">
        <f>'[3]01 Vp'!E11+'[3]01 Ly Nhan'!E11+'[3]01 Duy Tien'!E11+'[3]01 Thanh Liem'!E11+'[3]01 Kim Bang'!E11+'[3]01 Binh Luc'!E11+'[3]01 Phu Ly'!E11</f>
        <v>102</v>
      </c>
      <c r="F11" s="142">
        <v>34</v>
      </c>
      <c r="G11" s="142">
        <v>1</v>
      </c>
      <c r="H11" s="142"/>
      <c r="I11" s="12">
        <f aca="true" t="shared" si="3" ref="I11:I23">J11+Q11+R11+S11</f>
        <v>135</v>
      </c>
      <c r="J11" s="12">
        <f aca="true" t="shared" si="4" ref="J11:J37">K11+N11+O11+P11</f>
        <v>101</v>
      </c>
      <c r="K11" s="12">
        <f aca="true" t="shared" si="5" ref="K11:K22">L11+M11</f>
        <v>24</v>
      </c>
      <c r="L11" s="142">
        <v>23</v>
      </c>
      <c r="M11" s="142">
        <v>1</v>
      </c>
      <c r="N11" s="142">
        <v>76</v>
      </c>
      <c r="O11" s="142"/>
      <c r="P11" s="142">
        <v>1</v>
      </c>
      <c r="Q11" s="122">
        <v>32</v>
      </c>
      <c r="R11" s="142"/>
      <c r="S11" s="142">
        <v>2</v>
      </c>
      <c r="T11" s="12">
        <f>SUM(N11:S11)</f>
        <v>111</v>
      </c>
      <c r="U11" s="13">
        <f aca="true" t="shared" si="6" ref="U11:U36">IF(J11&lt;&gt;0,K11/J11,"")</f>
        <v>0.2376237623762376</v>
      </c>
      <c r="V11" s="43">
        <f>IF(D11-G11-H11=I11,I11,"KT lai")</f>
        <v>135</v>
      </c>
      <c r="W11" s="87">
        <f>C11-G11-H11-I11</f>
        <v>0</v>
      </c>
    </row>
    <row r="12" spans="1:23" ht="13.5" customHeight="1">
      <c r="A12" s="140" t="s">
        <v>26</v>
      </c>
      <c r="B12" s="143" t="s">
        <v>98</v>
      </c>
      <c r="C12" s="142">
        <f aca="true" t="shared" si="7" ref="C12:C37">D12</f>
        <v>48</v>
      </c>
      <c r="D12" s="12">
        <f t="shared" si="2"/>
        <v>48</v>
      </c>
      <c r="E12" s="122">
        <f>'[3]01 Vp'!E12+'[3]01 Ly Nhan'!E12+'[3]01 Duy Tien'!E12+'[3]01 Thanh Liem'!E12+'[3]01 Kim Bang'!E12+'[3]01 Binh Luc'!E12+'[3]01 Phu Ly'!E12+1</f>
        <v>33</v>
      </c>
      <c r="F12" s="142">
        <v>15</v>
      </c>
      <c r="G12" s="142">
        <v>1</v>
      </c>
      <c r="H12" s="142"/>
      <c r="I12" s="12">
        <f t="shared" si="3"/>
        <v>47</v>
      </c>
      <c r="J12" s="12">
        <f t="shared" si="4"/>
        <v>36</v>
      </c>
      <c r="K12" s="12">
        <f t="shared" si="5"/>
        <v>11</v>
      </c>
      <c r="L12" s="142">
        <v>11</v>
      </c>
      <c r="M12" s="142"/>
      <c r="N12" s="142">
        <v>25</v>
      </c>
      <c r="O12" s="142"/>
      <c r="P12" s="142"/>
      <c r="Q12" s="122">
        <f>'[3]01 Vp'!Q12+'[3]01 Ly Nhan'!Q12+'[3]01 Duy Tien'!Q12+'[3]01 Thanh Liem'!Q12+'[3]01 Kim Bang'!Q12+'[3]01 Binh Luc'!Q12+'[3]01 Phu Ly'!Q12</f>
        <v>9</v>
      </c>
      <c r="R12" s="142"/>
      <c r="S12" s="142">
        <v>2</v>
      </c>
      <c r="T12" s="12">
        <f aca="true" t="shared" si="8" ref="T12:T36">SUM(N12:S12)</f>
        <v>36</v>
      </c>
      <c r="U12" s="13">
        <f t="shared" si="6"/>
        <v>0.3055555555555556</v>
      </c>
      <c r="V12" s="43">
        <f aca="true" t="shared" si="9" ref="V12:V37">IF(D12-G12-H12=I12,I12,"KT lai")</f>
        <v>47</v>
      </c>
      <c r="W12" s="87">
        <f aca="true" t="shared" si="10" ref="W12:W37">C12-G12-H12-I12</f>
        <v>0</v>
      </c>
    </row>
    <row r="13" spans="1:23" ht="13.5" customHeight="1">
      <c r="A13" s="140" t="s">
        <v>27</v>
      </c>
      <c r="B13" s="144" t="s">
        <v>99</v>
      </c>
      <c r="C13" s="142">
        <f t="shared" si="7"/>
        <v>0</v>
      </c>
      <c r="D13" s="12">
        <f t="shared" si="2"/>
        <v>0</v>
      </c>
      <c r="E13" s="122"/>
      <c r="F13" s="142"/>
      <c r="G13" s="142"/>
      <c r="H13" s="142"/>
      <c r="I13" s="12">
        <f t="shared" si="3"/>
        <v>0</v>
      </c>
      <c r="J13" s="12">
        <f t="shared" si="4"/>
        <v>0</v>
      </c>
      <c r="K13" s="12">
        <f t="shared" si="5"/>
        <v>0</v>
      </c>
      <c r="L13" s="142"/>
      <c r="M13" s="142"/>
      <c r="N13" s="142"/>
      <c r="O13" s="142"/>
      <c r="P13" s="142"/>
      <c r="Q13" s="122">
        <f>'[3]01 Vp'!Q13+'[3]01 Ly Nhan'!Q13+'[3]01 Duy Tien'!Q13+'[3]01 Thanh Liem'!Q13+'[3]01 Kim Bang'!Q13+'[3]01 Binh Luc'!Q13+'[3]01 Phu Ly'!Q13</f>
        <v>0</v>
      </c>
      <c r="R13" s="142"/>
      <c r="S13" s="142"/>
      <c r="T13" s="12">
        <f t="shared" si="8"/>
        <v>0</v>
      </c>
      <c r="U13" s="13">
        <f t="shared" si="6"/>
      </c>
      <c r="V13" s="43">
        <f t="shared" si="9"/>
        <v>0</v>
      </c>
      <c r="W13" s="87">
        <f t="shared" si="10"/>
        <v>0</v>
      </c>
    </row>
    <row r="14" spans="1:23" ht="15.75">
      <c r="A14" s="140" t="s">
        <v>28</v>
      </c>
      <c r="B14" s="141" t="s">
        <v>100</v>
      </c>
      <c r="C14" s="142">
        <f t="shared" si="7"/>
        <v>0</v>
      </c>
      <c r="D14" s="12">
        <f t="shared" si="2"/>
        <v>0</v>
      </c>
      <c r="E14" s="122">
        <f>'[3]01 Vp'!E14+'[3]01 Ly Nhan'!E14+'[3]01 Duy Tien'!E14+'[3]01 Thanh Liem'!E14+'[3]01 Kim Bang'!E14+'[3]01 Binh Luc'!E14+'[3]01 Phu Ly'!E14</f>
        <v>0</v>
      </c>
      <c r="F14" s="142"/>
      <c r="G14" s="142"/>
      <c r="H14" s="142"/>
      <c r="I14" s="12">
        <f t="shared" si="3"/>
        <v>0</v>
      </c>
      <c r="J14" s="12">
        <f t="shared" si="4"/>
        <v>0</v>
      </c>
      <c r="K14" s="12">
        <f t="shared" si="5"/>
        <v>0</v>
      </c>
      <c r="L14" s="142"/>
      <c r="M14" s="142"/>
      <c r="N14" s="142"/>
      <c r="O14" s="142"/>
      <c r="P14" s="142"/>
      <c r="Q14" s="122">
        <f>'[3]01 Vp'!Q14+'[3]01 Ly Nhan'!Q14+'[3]01 Duy Tien'!Q14+'[3]01 Thanh Liem'!Q14+'[3]01 Kim Bang'!Q14+'[3]01 Binh Luc'!Q14+'[3]01 Phu Ly'!Q14</f>
        <v>0</v>
      </c>
      <c r="R14" s="142"/>
      <c r="S14" s="142"/>
      <c r="T14" s="12">
        <f t="shared" si="8"/>
        <v>0</v>
      </c>
      <c r="U14" s="13">
        <f t="shared" si="6"/>
      </c>
      <c r="V14" s="43">
        <f t="shared" si="9"/>
        <v>0</v>
      </c>
      <c r="W14" s="87">
        <f t="shared" si="10"/>
        <v>0</v>
      </c>
    </row>
    <row r="15" spans="1:23" ht="17.25" customHeight="1">
      <c r="A15" s="140" t="s">
        <v>29</v>
      </c>
      <c r="B15" s="145" t="s">
        <v>101</v>
      </c>
      <c r="C15" s="142">
        <f t="shared" si="7"/>
        <v>0</v>
      </c>
      <c r="D15" s="12">
        <f t="shared" si="2"/>
        <v>0</v>
      </c>
      <c r="E15" s="122"/>
      <c r="F15" s="142"/>
      <c r="G15" s="142"/>
      <c r="H15" s="142"/>
      <c r="I15" s="12">
        <f t="shared" si="3"/>
        <v>0</v>
      </c>
      <c r="J15" s="12">
        <f t="shared" si="4"/>
        <v>0</v>
      </c>
      <c r="K15" s="12">
        <f t="shared" si="5"/>
        <v>0</v>
      </c>
      <c r="L15" s="142"/>
      <c r="M15" s="142"/>
      <c r="N15" s="142"/>
      <c r="O15" s="142"/>
      <c r="P15" s="142"/>
      <c r="Q15" s="122"/>
      <c r="R15" s="142"/>
      <c r="S15" s="142"/>
      <c r="T15" s="12">
        <f t="shared" si="8"/>
        <v>0</v>
      </c>
      <c r="U15" s="13">
        <f t="shared" si="6"/>
      </c>
      <c r="V15" s="43">
        <f t="shared" si="9"/>
        <v>0</v>
      </c>
      <c r="W15" s="87">
        <f t="shared" si="10"/>
        <v>0</v>
      </c>
    </row>
    <row r="16" spans="1:23" ht="13.5" customHeight="1">
      <c r="A16" s="140" t="s">
        <v>30</v>
      </c>
      <c r="B16" s="141" t="s">
        <v>102</v>
      </c>
      <c r="C16" s="142">
        <f t="shared" si="7"/>
        <v>735</v>
      </c>
      <c r="D16" s="12">
        <f t="shared" si="2"/>
        <v>735</v>
      </c>
      <c r="E16" s="122">
        <f>'[3]01 Vp'!E16+'[3]01 Ly Nhan'!E16+'[3]01 Duy Tien'!E16+'[3]01 Thanh Liem'!E16+'[3]01 Kim Bang'!E16+'[3]01 Binh Luc'!E16+'[3]01 Phu Ly'!E16+46</f>
        <v>396</v>
      </c>
      <c r="F16" s="142">
        <v>339</v>
      </c>
      <c r="G16" s="142">
        <v>2</v>
      </c>
      <c r="H16" s="142"/>
      <c r="I16" s="12">
        <f t="shared" si="3"/>
        <v>733</v>
      </c>
      <c r="J16" s="12">
        <f t="shared" si="4"/>
        <v>488</v>
      </c>
      <c r="K16" s="12">
        <f t="shared" si="5"/>
        <v>212</v>
      </c>
      <c r="L16" s="142">
        <v>195</v>
      </c>
      <c r="M16" s="142">
        <v>17</v>
      </c>
      <c r="N16" s="142">
        <v>276</v>
      </c>
      <c r="O16" s="142"/>
      <c r="P16" s="142"/>
      <c r="Q16" s="122">
        <v>245</v>
      </c>
      <c r="R16" s="142"/>
      <c r="S16" s="142"/>
      <c r="T16" s="12">
        <f t="shared" si="8"/>
        <v>521</v>
      </c>
      <c r="U16" s="13">
        <f t="shared" si="6"/>
        <v>0.4344262295081967</v>
      </c>
      <c r="V16" s="43">
        <f t="shared" si="9"/>
        <v>733</v>
      </c>
      <c r="W16" s="87">
        <f t="shared" si="10"/>
        <v>0</v>
      </c>
    </row>
    <row r="17" spans="1:23" ht="13.5" customHeight="1">
      <c r="A17" s="140" t="s">
        <v>31</v>
      </c>
      <c r="B17" s="141" t="s">
        <v>103</v>
      </c>
      <c r="C17" s="142">
        <f t="shared" si="7"/>
        <v>15</v>
      </c>
      <c r="D17" s="12">
        <f t="shared" si="2"/>
        <v>15</v>
      </c>
      <c r="E17" s="122">
        <f>'[3]01 Vp'!E17+'[3]01 Ly Nhan'!E17+'[3]01 Duy Tien'!E17+'[3]01 Thanh Liem'!E17+'[3]01 Kim Bang'!E17+'[3]01 Binh Luc'!E17+'[3]01 Phu Ly'!E17</f>
        <v>2</v>
      </c>
      <c r="F17" s="142">
        <v>13</v>
      </c>
      <c r="G17" s="142"/>
      <c r="H17" s="142"/>
      <c r="I17" s="12">
        <f t="shared" si="3"/>
        <v>15</v>
      </c>
      <c r="J17" s="12">
        <f t="shared" si="4"/>
        <v>14</v>
      </c>
      <c r="K17" s="12">
        <f t="shared" si="5"/>
        <v>11</v>
      </c>
      <c r="L17" s="142">
        <v>11</v>
      </c>
      <c r="M17" s="142"/>
      <c r="N17" s="142">
        <v>3</v>
      </c>
      <c r="O17" s="142"/>
      <c r="P17" s="142"/>
      <c r="Q17" s="122">
        <f>'[3]01 Vp'!Q17+'[3]01 Ly Nhan'!Q17+'[3]01 Duy Tien'!Q17+'[3]01 Thanh Liem'!Q17+'[3]01 Kim Bang'!Q17+'[3]01 Binh Luc'!Q17+'[3]01 Phu Ly'!Q17</f>
        <v>1</v>
      </c>
      <c r="R17" s="142"/>
      <c r="S17" s="142"/>
      <c r="T17" s="12">
        <f t="shared" si="8"/>
        <v>4</v>
      </c>
      <c r="U17" s="13">
        <f t="shared" si="6"/>
        <v>0.7857142857142857</v>
      </c>
      <c r="V17" s="43">
        <f t="shared" si="9"/>
        <v>15</v>
      </c>
      <c r="W17" s="87">
        <f t="shared" si="10"/>
        <v>0</v>
      </c>
    </row>
    <row r="18" spans="1:23" ht="13.5" customHeight="1">
      <c r="A18" s="140" t="s">
        <v>32</v>
      </c>
      <c r="B18" s="141" t="s">
        <v>104</v>
      </c>
      <c r="C18" s="142">
        <f t="shared" si="7"/>
        <v>327</v>
      </c>
      <c r="D18" s="12">
        <f t="shared" si="2"/>
        <v>327</v>
      </c>
      <c r="E18" s="122">
        <f>'[3]01 Vp'!E18+'[3]01 Ly Nhan'!E18+'[3]01 Duy Tien'!E18+'[3]01 Thanh Liem'!E18+'[3]01 Kim Bang'!E18+'[3]01 Binh Luc'!E18+'[3]01 Phu Ly'!E18</f>
        <v>48</v>
      </c>
      <c r="F18" s="142">
        <v>279</v>
      </c>
      <c r="G18" s="142"/>
      <c r="H18" s="142"/>
      <c r="I18" s="12">
        <f t="shared" si="3"/>
        <v>327</v>
      </c>
      <c r="J18" s="12">
        <f t="shared" si="4"/>
        <v>304</v>
      </c>
      <c r="K18" s="12">
        <f t="shared" si="5"/>
        <v>208</v>
      </c>
      <c r="L18" s="142">
        <v>208</v>
      </c>
      <c r="M18" s="142"/>
      <c r="N18" s="142">
        <v>96</v>
      </c>
      <c r="O18" s="142"/>
      <c r="P18" s="142"/>
      <c r="Q18" s="122">
        <f>'[3]01 Vp'!Q18+'[3]01 Ly Nhan'!Q18+'[3]01 Duy Tien'!Q18+'[3]01 Thanh Liem'!Q18+'[3]01 Kim Bang'!Q18+'[3]01 Binh Luc'!Q18+'[3]01 Phu Ly'!Q18</f>
        <v>23</v>
      </c>
      <c r="R18" s="142"/>
      <c r="S18" s="142"/>
      <c r="T18" s="12">
        <f t="shared" si="8"/>
        <v>119</v>
      </c>
      <c r="U18" s="13">
        <f t="shared" si="6"/>
        <v>0.6842105263157895</v>
      </c>
      <c r="V18" s="43">
        <f t="shared" si="9"/>
        <v>327</v>
      </c>
      <c r="W18" s="87">
        <f t="shared" si="10"/>
        <v>0</v>
      </c>
    </row>
    <row r="19" spans="1:23" ht="13.5" customHeight="1">
      <c r="A19" s="140" t="s">
        <v>33</v>
      </c>
      <c r="B19" s="141" t="s">
        <v>105</v>
      </c>
      <c r="C19" s="142">
        <f t="shared" si="7"/>
        <v>1</v>
      </c>
      <c r="D19" s="12">
        <f t="shared" si="2"/>
        <v>1</v>
      </c>
      <c r="E19" s="122">
        <f>'[3]01 Vp'!E19+'[3]01 Ly Nhan'!E19+'[3]01 Duy Tien'!E19+'[3]01 Thanh Liem'!E19+'[3]01 Kim Bang'!E19+'[3]01 Binh Luc'!E19+'[3]01 Phu Ly'!E19</f>
        <v>1</v>
      </c>
      <c r="F19" s="142"/>
      <c r="G19" s="142"/>
      <c r="H19" s="142"/>
      <c r="I19" s="12">
        <f t="shared" si="3"/>
        <v>1</v>
      </c>
      <c r="J19" s="12">
        <f t="shared" si="4"/>
        <v>1</v>
      </c>
      <c r="K19" s="12">
        <f t="shared" si="5"/>
        <v>0</v>
      </c>
      <c r="L19" s="142"/>
      <c r="M19" s="142"/>
      <c r="N19" s="142">
        <v>1</v>
      </c>
      <c r="O19" s="142"/>
      <c r="P19" s="142"/>
      <c r="Q19" s="122">
        <f>'[3]01 Vp'!Q19+'[3]01 Ly Nhan'!Q19+'[3]01 Duy Tien'!Q19+'[3]01 Thanh Liem'!Q19+'[3]01 Kim Bang'!Q19+'[3]01 Binh Luc'!Q19+'[3]01 Phu Ly'!Q19</f>
        <v>0</v>
      </c>
      <c r="R19" s="142"/>
      <c r="S19" s="142"/>
      <c r="T19" s="12">
        <f t="shared" si="8"/>
        <v>1</v>
      </c>
      <c r="U19" s="13">
        <f t="shared" si="6"/>
        <v>0</v>
      </c>
      <c r="V19" s="43">
        <f t="shared" si="9"/>
        <v>1</v>
      </c>
      <c r="W19" s="87">
        <f t="shared" si="10"/>
        <v>0</v>
      </c>
    </row>
    <row r="20" spans="1:23" ht="13.5" customHeight="1">
      <c r="A20" s="140" t="s">
        <v>34</v>
      </c>
      <c r="B20" s="141" t="s">
        <v>106</v>
      </c>
      <c r="C20" s="142">
        <f t="shared" si="7"/>
        <v>0</v>
      </c>
      <c r="D20" s="12">
        <f t="shared" si="2"/>
        <v>0</v>
      </c>
      <c r="E20" s="122">
        <f>'[3]01 Vp'!E20+'[3]01 Ly Nhan'!E20+'[3]01 Duy Tien'!E20+'[3]01 Thanh Liem'!E20+'[3]01 Kim Bang'!E20+'[3]01 Binh Luc'!E20+'[3]01 Phu Ly'!E20</f>
        <v>0</v>
      </c>
      <c r="F20" s="142"/>
      <c r="G20" s="142"/>
      <c r="H20" s="142"/>
      <c r="I20" s="12">
        <f t="shared" si="3"/>
        <v>0</v>
      </c>
      <c r="J20" s="12">
        <f t="shared" si="4"/>
        <v>0</v>
      </c>
      <c r="K20" s="12">
        <f t="shared" si="5"/>
        <v>0</v>
      </c>
      <c r="L20" s="142"/>
      <c r="M20" s="142"/>
      <c r="N20" s="142"/>
      <c r="O20" s="142"/>
      <c r="P20" s="142"/>
      <c r="Q20" s="122">
        <f>'[3]01 Vp'!Q20+'[3]01 Ly Nhan'!Q20+'[3]01 Duy Tien'!Q20+'[3]01 Thanh Liem'!Q20+'[3]01 Kim Bang'!Q20+'[3]01 Binh Luc'!Q20+'[3]01 Phu Ly'!Q20</f>
        <v>0</v>
      </c>
      <c r="R20" s="142"/>
      <c r="S20" s="142"/>
      <c r="T20" s="12">
        <f t="shared" si="8"/>
        <v>0</v>
      </c>
      <c r="U20" s="13">
        <f t="shared" si="6"/>
      </c>
      <c r="V20" s="43">
        <f t="shared" si="9"/>
        <v>0</v>
      </c>
      <c r="W20" s="87">
        <f t="shared" si="10"/>
        <v>0</v>
      </c>
    </row>
    <row r="21" spans="1:23" ht="13.5" customHeight="1">
      <c r="A21" s="140" t="s">
        <v>35</v>
      </c>
      <c r="B21" s="141" t="s">
        <v>107</v>
      </c>
      <c r="C21" s="142">
        <f t="shared" si="7"/>
        <v>0</v>
      </c>
      <c r="D21" s="12">
        <f t="shared" si="2"/>
        <v>0</v>
      </c>
      <c r="E21" s="122">
        <f>'[3]01 Vp'!E21+'[3]01 Ly Nhan'!E21+'[3]01 Duy Tien'!E21+'[3]01 Thanh Liem'!E21+'[3]01 Kim Bang'!E21+'[3]01 Binh Luc'!E21+'[3]01 Phu Ly'!E21</f>
        <v>0</v>
      </c>
      <c r="F21" s="142"/>
      <c r="G21" s="142"/>
      <c r="H21" s="142"/>
      <c r="I21" s="12">
        <f t="shared" si="3"/>
        <v>0</v>
      </c>
      <c r="J21" s="12">
        <f t="shared" si="4"/>
        <v>0</v>
      </c>
      <c r="K21" s="12">
        <f t="shared" si="5"/>
        <v>0</v>
      </c>
      <c r="L21" s="142"/>
      <c r="M21" s="142"/>
      <c r="N21" s="142"/>
      <c r="O21" s="142"/>
      <c r="P21" s="142"/>
      <c r="Q21" s="122">
        <f>'[3]01 Vp'!Q21+'[3]01 Ly Nhan'!Q21+'[3]01 Duy Tien'!Q21+'[3]01 Thanh Liem'!Q21+'[3]01 Kim Bang'!Q21+'[3]01 Binh Luc'!Q21+'[3]01 Phu Ly'!Q21</f>
        <v>0</v>
      </c>
      <c r="R21" s="142"/>
      <c r="S21" s="142"/>
      <c r="T21" s="12">
        <f t="shared" si="8"/>
        <v>0</v>
      </c>
      <c r="U21" s="13">
        <f t="shared" si="6"/>
      </c>
      <c r="V21" s="43">
        <f t="shared" si="9"/>
        <v>0</v>
      </c>
      <c r="W21" s="87">
        <f t="shared" si="10"/>
        <v>0</v>
      </c>
    </row>
    <row r="22" spans="1:23" ht="13.5" customHeight="1">
      <c r="A22" s="140" t="s">
        <v>36</v>
      </c>
      <c r="B22" s="141" t="s">
        <v>108</v>
      </c>
      <c r="C22" s="142">
        <f t="shared" si="7"/>
        <v>0</v>
      </c>
      <c r="D22" s="12">
        <f t="shared" si="2"/>
        <v>0</v>
      </c>
      <c r="E22" s="122">
        <f>'[3]01 Vp'!E22+'[3]01 Ly Nhan'!E22+'[3]01 Duy Tien'!E22+'[3]01 Thanh Liem'!E22+'[3]01 Kim Bang'!E22+'[3]01 Binh Luc'!E22+'[3]01 Phu Ly'!E22</f>
        <v>0</v>
      </c>
      <c r="F22" s="142"/>
      <c r="G22" s="142"/>
      <c r="H22" s="142"/>
      <c r="I22" s="12">
        <f t="shared" si="3"/>
        <v>0</v>
      </c>
      <c r="J22" s="12">
        <f t="shared" si="4"/>
        <v>0</v>
      </c>
      <c r="K22" s="12">
        <f t="shared" si="5"/>
        <v>0</v>
      </c>
      <c r="L22" s="142"/>
      <c r="M22" s="142"/>
      <c r="N22" s="142"/>
      <c r="O22" s="142"/>
      <c r="P22" s="142"/>
      <c r="Q22" s="122">
        <f>'[3]01 Vp'!Q22+'[3]01 Ly Nhan'!Q22+'[3]01 Duy Tien'!Q22+'[3]01 Thanh Liem'!Q22+'[3]01 Kim Bang'!Q22+'[3]01 Binh Luc'!Q22+'[3]01 Phu Ly'!Q22</f>
        <v>0</v>
      </c>
      <c r="R22" s="142"/>
      <c r="S22" s="142"/>
      <c r="T22" s="12">
        <f t="shared" si="8"/>
        <v>0</v>
      </c>
      <c r="U22" s="13">
        <f t="shared" si="6"/>
      </c>
      <c r="V22" s="43">
        <f t="shared" si="9"/>
        <v>0</v>
      </c>
      <c r="W22" s="87">
        <f t="shared" si="10"/>
        <v>0</v>
      </c>
    </row>
    <row r="23" spans="1:23" ht="13.5" customHeight="1">
      <c r="A23" s="140" t="s">
        <v>37</v>
      </c>
      <c r="B23" s="141" t="s">
        <v>109</v>
      </c>
      <c r="C23" s="142">
        <f t="shared" si="7"/>
        <v>4</v>
      </c>
      <c r="D23" s="12">
        <f t="shared" si="2"/>
        <v>4</v>
      </c>
      <c r="E23" s="122">
        <f>'[3]01 Vp'!E23+'[3]01 Ly Nhan'!E23+'[3]01 Duy Tien'!E23+'[3]01 Thanh Liem'!E23+'[3]01 Kim Bang'!E23+'[3]01 Binh Luc'!E23+'[3]01 Phu Ly'!E23</f>
        <v>4</v>
      </c>
      <c r="F23" s="142"/>
      <c r="G23" s="142"/>
      <c r="H23" s="142"/>
      <c r="I23" s="12">
        <f t="shared" si="3"/>
        <v>4</v>
      </c>
      <c r="J23" s="12">
        <f t="shared" si="4"/>
        <v>1</v>
      </c>
      <c r="K23" s="12">
        <f>L23+M23</f>
        <v>0</v>
      </c>
      <c r="L23" s="142"/>
      <c r="M23" s="142"/>
      <c r="N23" s="142">
        <v>1</v>
      </c>
      <c r="O23" s="142"/>
      <c r="P23" s="142"/>
      <c r="Q23" s="122">
        <v>3</v>
      </c>
      <c r="R23" s="142"/>
      <c r="S23" s="142"/>
      <c r="T23" s="12">
        <f t="shared" si="8"/>
        <v>4</v>
      </c>
      <c r="U23" s="13">
        <f t="shared" si="6"/>
        <v>0</v>
      </c>
      <c r="V23" s="43">
        <f t="shared" si="9"/>
        <v>4</v>
      </c>
      <c r="W23" s="87">
        <f t="shared" si="10"/>
        <v>0</v>
      </c>
    </row>
    <row r="24" spans="1:23" ht="14.25" customHeight="1">
      <c r="A24" s="138" t="s">
        <v>50</v>
      </c>
      <c r="B24" s="139" t="s">
        <v>110</v>
      </c>
      <c r="C24" s="142">
        <f t="shared" si="7"/>
        <v>292</v>
      </c>
      <c r="D24" s="12">
        <f aca="true" t="shared" si="11" ref="D24:T24">SUM(D25:D37)</f>
        <v>292</v>
      </c>
      <c r="E24" s="137">
        <f t="shared" si="11"/>
        <v>207</v>
      </c>
      <c r="F24" s="12">
        <f t="shared" si="11"/>
        <v>85</v>
      </c>
      <c r="G24" s="12">
        <f t="shared" si="11"/>
        <v>3</v>
      </c>
      <c r="H24" s="12">
        <f t="shared" si="11"/>
        <v>0</v>
      </c>
      <c r="I24" s="12">
        <f t="shared" si="11"/>
        <v>289</v>
      </c>
      <c r="J24" s="12">
        <f t="shared" si="11"/>
        <v>226</v>
      </c>
      <c r="K24" s="12">
        <f t="shared" si="11"/>
        <v>35</v>
      </c>
      <c r="L24" s="12">
        <f t="shared" si="11"/>
        <v>35</v>
      </c>
      <c r="M24" s="12">
        <f t="shared" si="11"/>
        <v>0</v>
      </c>
      <c r="N24" s="12">
        <f t="shared" si="11"/>
        <v>188</v>
      </c>
      <c r="O24" s="12">
        <f t="shared" si="11"/>
        <v>0</v>
      </c>
      <c r="P24" s="12">
        <f t="shared" si="11"/>
        <v>3</v>
      </c>
      <c r="Q24" s="137">
        <f t="shared" si="11"/>
        <v>60</v>
      </c>
      <c r="R24" s="12">
        <f t="shared" si="11"/>
        <v>0</v>
      </c>
      <c r="S24" s="12">
        <f t="shared" si="11"/>
        <v>3</v>
      </c>
      <c r="T24" s="12">
        <f t="shared" si="11"/>
        <v>254</v>
      </c>
      <c r="U24" s="13">
        <f t="shared" si="6"/>
        <v>0.15486725663716813</v>
      </c>
      <c r="V24" s="43">
        <f t="shared" si="9"/>
        <v>289</v>
      </c>
      <c r="W24" s="87">
        <f t="shared" si="10"/>
        <v>0</v>
      </c>
    </row>
    <row r="25" spans="1:23" ht="14.25" customHeight="1">
      <c r="A25" s="140" t="s">
        <v>25</v>
      </c>
      <c r="B25" s="141" t="s">
        <v>97</v>
      </c>
      <c r="C25" s="142">
        <f t="shared" si="7"/>
        <v>136</v>
      </c>
      <c r="D25" s="12">
        <f>E25+F25</f>
        <v>136</v>
      </c>
      <c r="E25" s="122">
        <f>'[3]01 Vp'!E25+'[3]01 Ly Nhan'!E25+'[3]01 Duy Tien'!E25+'[3]01 Thanh Liem'!E25+'[3]01 Kim Bang'!E25+'[3]01 Binh Luc'!E25+'[3]01 Phu Ly'!E25</f>
        <v>103</v>
      </c>
      <c r="F25" s="142">
        <v>33</v>
      </c>
      <c r="G25" s="142"/>
      <c r="H25" s="142"/>
      <c r="I25" s="12">
        <f>J25+Q25+R25+S25</f>
        <v>136</v>
      </c>
      <c r="J25" s="12">
        <f t="shared" si="4"/>
        <v>114</v>
      </c>
      <c r="K25" s="12">
        <f>L25+M25</f>
        <v>16</v>
      </c>
      <c r="L25" s="142">
        <v>16</v>
      </c>
      <c r="M25" s="142"/>
      <c r="N25" s="142">
        <v>95</v>
      </c>
      <c r="O25" s="142"/>
      <c r="P25" s="142">
        <v>3</v>
      </c>
      <c r="Q25" s="122">
        <v>20</v>
      </c>
      <c r="R25" s="142">
        <f>'[3]01 Vp'!R25+'[3]01 Ly Nhan'!R25+'[3]01 Duy Tien'!R25+'[3]01 Thanh Liem'!R25+'[3]01 Kim Bang'!R25+'[3]01 Binh Luc'!R25+'[3]01 Phu Ly'!R25</f>
        <v>0</v>
      </c>
      <c r="S25" s="142">
        <v>2</v>
      </c>
      <c r="T25" s="12">
        <f t="shared" si="8"/>
        <v>120</v>
      </c>
      <c r="U25" s="13">
        <f t="shared" si="6"/>
        <v>0.14035087719298245</v>
      </c>
      <c r="V25" s="43">
        <f t="shared" si="9"/>
        <v>136</v>
      </c>
      <c r="W25" s="87">
        <f t="shared" si="10"/>
        <v>0</v>
      </c>
    </row>
    <row r="26" spans="1:23" ht="14.25" customHeight="1">
      <c r="A26" s="140" t="s">
        <v>26</v>
      </c>
      <c r="B26" s="143" t="s">
        <v>98</v>
      </c>
      <c r="C26" s="142">
        <f t="shared" si="7"/>
        <v>36</v>
      </c>
      <c r="D26" s="12">
        <f aca="true" t="shared" si="12" ref="D26:D37">E26+F26</f>
        <v>36</v>
      </c>
      <c r="E26" s="122">
        <f>'[3]01 Vp'!E26+'[3]01 Ly Nhan'!E26+'[3]01 Duy Tien'!E26+'[3]01 Thanh Liem'!E26+'[3]01 Kim Bang'!E26+'[3]01 Binh Luc'!E26+'[3]01 Phu Ly'!E26</f>
        <v>25</v>
      </c>
      <c r="F26" s="142">
        <v>11</v>
      </c>
      <c r="G26" s="142"/>
      <c r="H26" s="142"/>
      <c r="I26" s="12">
        <f aca="true" t="shared" si="13" ref="I26:I37">J26+Q26+R26+S26</f>
        <v>36</v>
      </c>
      <c r="J26" s="12">
        <f t="shared" si="4"/>
        <v>30</v>
      </c>
      <c r="K26" s="12">
        <f aca="true" t="shared" si="14" ref="K26:K37">L26+M26</f>
        <v>0</v>
      </c>
      <c r="L26" s="142"/>
      <c r="M26" s="142"/>
      <c r="N26" s="142">
        <v>30</v>
      </c>
      <c r="O26" s="142"/>
      <c r="P26" s="142"/>
      <c r="Q26" s="122">
        <v>5</v>
      </c>
      <c r="R26" s="142">
        <f>'[3]01 Vp'!R26+'[3]01 Ly Nhan'!R26+'[3]01 Duy Tien'!R26+'[3]01 Thanh Liem'!R26+'[3]01 Kim Bang'!R26+'[3]01 Binh Luc'!R26+'[3]01 Phu Ly'!R26</f>
        <v>0</v>
      </c>
      <c r="S26" s="142">
        <v>1</v>
      </c>
      <c r="T26" s="12">
        <f t="shared" si="8"/>
        <v>36</v>
      </c>
      <c r="U26" s="13">
        <f t="shared" si="6"/>
        <v>0</v>
      </c>
      <c r="V26" s="43">
        <f t="shared" si="9"/>
        <v>36</v>
      </c>
      <c r="W26" s="87">
        <f t="shared" si="10"/>
        <v>0</v>
      </c>
    </row>
    <row r="27" spans="1:23" ht="14.25" customHeight="1">
      <c r="A27" s="140" t="s">
        <v>27</v>
      </c>
      <c r="B27" s="144" t="s">
        <v>99</v>
      </c>
      <c r="C27" s="142">
        <f t="shared" si="7"/>
        <v>0</v>
      </c>
      <c r="D27" s="12">
        <f t="shared" si="12"/>
        <v>0</v>
      </c>
      <c r="E27" s="122"/>
      <c r="F27" s="142"/>
      <c r="G27" s="142"/>
      <c r="H27" s="142"/>
      <c r="I27" s="12">
        <f t="shared" si="13"/>
        <v>0</v>
      </c>
      <c r="J27" s="12">
        <f t="shared" si="4"/>
        <v>0</v>
      </c>
      <c r="K27" s="12">
        <f t="shared" si="14"/>
        <v>0</v>
      </c>
      <c r="L27" s="142"/>
      <c r="M27" s="142"/>
      <c r="N27" s="142"/>
      <c r="O27" s="142"/>
      <c r="P27" s="142"/>
      <c r="Q27" s="122"/>
      <c r="R27" s="142">
        <f>'[3]01 Vp'!R27+'[3]01 Ly Nhan'!R27+'[3]01 Duy Tien'!R27+'[3]01 Thanh Liem'!R27+'[3]01 Kim Bang'!R27+'[3]01 Binh Luc'!R27+'[3]01 Phu Ly'!R27</f>
        <v>0</v>
      </c>
      <c r="S27" s="142"/>
      <c r="T27" s="12">
        <f t="shared" si="8"/>
        <v>0</v>
      </c>
      <c r="U27" s="13">
        <f t="shared" si="6"/>
      </c>
      <c r="V27" s="43">
        <f t="shared" si="9"/>
        <v>0</v>
      </c>
      <c r="W27" s="87">
        <f t="shared" si="10"/>
        <v>0</v>
      </c>
    </row>
    <row r="28" spans="1:23" ht="14.25" customHeight="1">
      <c r="A28" s="140" t="s">
        <v>28</v>
      </c>
      <c r="B28" s="141" t="s">
        <v>100</v>
      </c>
      <c r="C28" s="142">
        <f t="shared" si="7"/>
        <v>0</v>
      </c>
      <c r="D28" s="12">
        <f t="shared" si="12"/>
        <v>0</v>
      </c>
      <c r="E28" s="122">
        <f>'[3]01 Vp'!E28+'[3]01 Ly Nhan'!E28+'[3]01 Duy Tien'!E28+'[3]01 Thanh Liem'!E28+'[3]01 Kim Bang'!E28+'[3]01 Binh Luc'!E28+'[3]01 Phu Ly'!E28</f>
        <v>0</v>
      </c>
      <c r="F28" s="142"/>
      <c r="G28" s="142"/>
      <c r="H28" s="142"/>
      <c r="I28" s="12">
        <f t="shared" si="13"/>
        <v>0</v>
      </c>
      <c r="J28" s="12">
        <f t="shared" si="4"/>
        <v>0</v>
      </c>
      <c r="K28" s="12">
        <f t="shared" si="14"/>
        <v>0</v>
      </c>
      <c r="L28" s="142"/>
      <c r="M28" s="142"/>
      <c r="N28" s="142"/>
      <c r="O28" s="142"/>
      <c r="P28" s="142"/>
      <c r="Q28" s="122">
        <f>'[3]01 Vp'!Q28+'[3]01 Ly Nhan'!Q28+'[3]01 Duy Tien'!Q28+'[3]01 Thanh Liem'!Q28+'[3]01 Kim Bang'!Q28+'[3]01 Binh Luc'!Q28+'[3]01 Phu Ly'!Q28</f>
        <v>0</v>
      </c>
      <c r="R28" s="142">
        <f>'[3]01 Vp'!R28+'[3]01 Ly Nhan'!R28+'[3]01 Duy Tien'!R28+'[3]01 Thanh Liem'!R28+'[3]01 Kim Bang'!R28+'[3]01 Binh Luc'!R28+'[3]01 Phu Ly'!R28</f>
        <v>0</v>
      </c>
      <c r="S28" s="142"/>
      <c r="T28" s="12">
        <f t="shared" si="8"/>
        <v>0</v>
      </c>
      <c r="U28" s="13">
        <f t="shared" si="6"/>
      </c>
      <c r="V28" s="43">
        <f t="shared" si="9"/>
        <v>0</v>
      </c>
      <c r="W28" s="87">
        <f t="shared" si="10"/>
        <v>0</v>
      </c>
    </row>
    <row r="29" spans="1:23" ht="16.5" customHeight="1">
      <c r="A29" s="140" t="s">
        <v>29</v>
      </c>
      <c r="B29" s="145" t="s">
        <v>101</v>
      </c>
      <c r="C29" s="142">
        <f t="shared" si="7"/>
        <v>0</v>
      </c>
      <c r="D29" s="12">
        <f t="shared" si="12"/>
        <v>0</v>
      </c>
      <c r="E29" s="122">
        <f>'[3]01 Vp'!E29+'[3]01 Ly Nhan'!E29+'[3]01 Duy Tien'!E29+'[3]01 Thanh Liem'!E29+'[3]01 Kim Bang'!E29+'[3]01 Binh Luc'!E29+'[3]01 Phu Ly'!E29</f>
        <v>0</v>
      </c>
      <c r="F29" s="142"/>
      <c r="G29" s="142"/>
      <c r="H29" s="142"/>
      <c r="I29" s="12">
        <f t="shared" si="13"/>
        <v>0</v>
      </c>
      <c r="J29" s="12">
        <f t="shared" si="4"/>
        <v>0</v>
      </c>
      <c r="K29" s="12">
        <f t="shared" si="14"/>
        <v>0</v>
      </c>
      <c r="L29" s="142"/>
      <c r="M29" s="142"/>
      <c r="N29" s="142"/>
      <c r="O29" s="142"/>
      <c r="P29" s="142"/>
      <c r="Q29" s="122">
        <f>'[3]01 Vp'!Q29+'[3]01 Ly Nhan'!Q29+'[3]01 Duy Tien'!Q29+'[3]01 Thanh Liem'!Q29+'[3]01 Kim Bang'!Q29+'[3]01 Binh Luc'!Q29+'[3]01 Phu Ly'!Q29</f>
        <v>0</v>
      </c>
      <c r="R29" s="142">
        <f>'[3]01 Vp'!R29+'[3]01 Ly Nhan'!R29+'[3]01 Duy Tien'!R29+'[3]01 Thanh Liem'!R29+'[3]01 Kim Bang'!R29+'[3]01 Binh Luc'!R29+'[3]01 Phu Ly'!R29</f>
        <v>0</v>
      </c>
      <c r="S29" s="142"/>
      <c r="T29" s="12">
        <f t="shared" si="8"/>
        <v>0</v>
      </c>
      <c r="U29" s="13">
        <f t="shared" si="6"/>
      </c>
      <c r="V29" s="43">
        <f t="shared" si="9"/>
        <v>0</v>
      </c>
      <c r="W29" s="87">
        <f t="shared" si="10"/>
        <v>0</v>
      </c>
    </row>
    <row r="30" spans="1:23" ht="14.25" customHeight="1">
      <c r="A30" s="140" t="s">
        <v>30</v>
      </c>
      <c r="B30" s="141" t="s">
        <v>102</v>
      </c>
      <c r="C30" s="142">
        <f t="shared" si="7"/>
        <v>56</v>
      </c>
      <c r="D30" s="12">
        <f t="shared" si="12"/>
        <v>56</v>
      </c>
      <c r="E30" s="122">
        <v>36</v>
      </c>
      <c r="F30" s="142">
        <v>20</v>
      </c>
      <c r="G30" s="142">
        <v>1</v>
      </c>
      <c r="H30" s="142"/>
      <c r="I30" s="12">
        <f t="shared" si="13"/>
        <v>55</v>
      </c>
      <c r="J30" s="12">
        <f t="shared" si="4"/>
        <v>32</v>
      </c>
      <c r="K30" s="12">
        <f t="shared" si="14"/>
        <v>10</v>
      </c>
      <c r="L30" s="142">
        <v>10</v>
      </c>
      <c r="M30" s="142"/>
      <c r="N30" s="142">
        <v>22</v>
      </c>
      <c r="O30" s="142"/>
      <c r="P30" s="142"/>
      <c r="Q30" s="122">
        <v>23</v>
      </c>
      <c r="R30" s="142">
        <f>'[3]01 Vp'!R30+'[3]01 Ly Nhan'!R30+'[3]01 Duy Tien'!R30+'[3]01 Thanh Liem'!R30+'[3]01 Kim Bang'!R30+'[3]01 Binh Luc'!R30+'[3]01 Phu Ly'!R30</f>
        <v>0</v>
      </c>
      <c r="S30" s="142"/>
      <c r="T30" s="12">
        <f t="shared" si="8"/>
        <v>45</v>
      </c>
      <c r="U30" s="13">
        <f t="shared" si="6"/>
        <v>0.3125</v>
      </c>
      <c r="V30" s="43">
        <f t="shared" si="9"/>
        <v>55</v>
      </c>
      <c r="W30" s="87">
        <f t="shared" si="10"/>
        <v>0</v>
      </c>
    </row>
    <row r="31" spans="1:23" ht="14.25" customHeight="1">
      <c r="A31" s="140" t="s">
        <v>31</v>
      </c>
      <c r="B31" s="141" t="s">
        <v>103</v>
      </c>
      <c r="C31" s="142">
        <f t="shared" si="7"/>
        <v>1</v>
      </c>
      <c r="D31" s="12">
        <f t="shared" si="12"/>
        <v>1</v>
      </c>
      <c r="E31" s="122">
        <f>'[3]01 Vp'!E31+'[3]01 Ly Nhan'!E31+'[3]01 Duy Tien'!E31+'[3]01 Thanh Liem'!E31+'[3]01 Kim Bang'!E31+'[3]01 Binh Luc'!E31+'[3]01 Phu Ly'!E31</f>
        <v>0</v>
      </c>
      <c r="F31" s="142">
        <v>1</v>
      </c>
      <c r="G31" s="142"/>
      <c r="H31" s="142"/>
      <c r="I31" s="12">
        <f t="shared" si="13"/>
        <v>1</v>
      </c>
      <c r="J31" s="12">
        <f t="shared" si="4"/>
        <v>1</v>
      </c>
      <c r="K31" s="12">
        <f t="shared" si="14"/>
        <v>0</v>
      </c>
      <c r="L31" s="142"/>
      <c r="M31" s="142"/>
      <c r="N31" s="142">
        <v>1</v>
      </c>
      <c r="O31" s="142"/>
      <c r="P31" s="142"/>
      <c r="Q31" s="122">
        <f>'[3]01 Vp'!Q31+'[3]01 Ly Nhan'!Q31+'[3]01 Duy Tien'!Q31+'[3]01 Thanh Liem'!Q31+'[3]01 Kim Bang'!Q31+'[3]01 Binh Luc'!Q31+'[3]01 Phu Ly'!Q31</f>
        <v>0</v>
      </c>
      <c r="R31" s="142">
        <f>'[3]01 Vp'!R31+'[3]01 Ly Nhan'!R31+'[3]01 Duy Tien'!R31+'[3]01 Thanh Liem'!R31+'[3]01 Kim Bang'!R31+'[3]01 Binh Luc'!R31+'[3]01 Phu Ly'!R31</f>
        <v>0</v>
      </c>
      <c r="S31" s="142"/>
      <c r="T31" s="12">
        <f t="shared" si="8"/>
        <v>1</v>
      </c>
      <c r="U31" s="13">
        <f t="shared" si="6"/>
        <v>0</v>
      </c>
      <c r="V31" s="43">
        <f t="shared" si="9"/>
        <v>1</v>
      </c>
      <c r="W31" s="87">
        <f t="shared" si="10"/>
        <v>0</v>
      </c>
    </row>
    <row r="32" spans="1:23" ht="12.75" customHeight="1">
      <c r="A32" s="140" t="s">
        <v>32</v>
      </c>
      <c r="B32" s="141" t="s">
        <v>104</v>
      </c>
      <c r="C32" s="142">
        <f t="shared" si="7"/>
        <v>62</v>
      </c>
      <c r="D32" s="12">
        <f t="shared" si="12"/>
        <v>62</v>
      </c>
      <c r="E32" s="122">
        <f>'[3]01 Vp'!E32+'[3]01 Ly Nhan'!E32+'[3]01 Duy Tien'!E32+'[3]01 Thanh Liem'!E32+'[3]01 Kim Bang'!E32+'[3]01 Binh Luc'!E32+'[3]01 Phu Ly'!E32</f>
        <v>42</v>
      </c>
      <c r="F32" s="142">
        <v>20</v>
      </c>
      <c r="G32" s="142">
        <v>2</v>
      </c>
      <c r="H32" s="142"/>
      <c r="I32" s="12">
        <f t="shared" si="13"/>
        <v>60</v>
      </c>
      <c r="J32" s="12">
        <f t="shared" si="4"/>
        <v>48</v>
      </c>
      <c r="K32" s="12">
        <f t="shared" si="14"/>
        <v>9</v>
      </c>
      <c r="L32" s="142">
        <v>9</v>
      </c>
      <c r="M32" s="142"/>
      <c r="N32" s="142">
        <v>39</v>
      </c>
      <c r="O32" s="142"/>
      <c r="P32" s="142"/>
      <c r="Q32" s="122">
        <f>'[3]01 Vp'!Q32+'[3]01 Ly Nhan'!Q32+'[3]01 Duy Tien'!Q32+'[3]01 Thanh Liem'!Q32+'[3]01 Kim Bang'!Q32+'[3]01 Binh Luc'!Q32+'[3]01 Phu Ly'!Q32</f>
        <v>12</v>
      </c>
      <c r="R32" s="142">
        <f>'[3]01 Vp'!R32+'[3]01 Ly Nhan'!R32+'[3]01 Duy Tien'!R32+'[3]01 Thanh Liem'!R32+'[3]01 Kim Bang'!R32+'[3]01 Binh Luc'!R32+'[3]01 Phu Ly'!R32</f>
        <v>0</v>
      </c>
      <c r="S32" s="142"/>
      <c r="T32" s="12">
        <f t="shared" si="8"/>
        <v>51</v>
      </c>
      <c r="U32" s="13">
        <f t="shared" si="6"/>
        <v>0.1875</v>
      </c>
      <c r="V32" s="43">
        <f t="shared" si="9"/>
        <v>60</v>
      </c>
      <c r="W32" s="87">
        <f t="shared" si="10"/>
        <v>0</v>
      </c>
    </row>
    <row r="33" spans="1:23" ht="12.75" customHeight="1">
      <c r="A33" s="140" t="s">
        <v>33</v>
      </c>
      <c r="B33" s="141" t="s">
        <v>105</v>
      </c>
      <c r="C33" s="142">
        <f t="shared" si="7"/>
        <v>1</v>
      </c>
      <c r="D33" s="12">
        <f t="shared" si="12"/>
        <v>1</v>
      </c>
      <c r="E33" s="122">
        <f>'[3]01 Vp'!E33+'[3]01 Ly Nhan'!E33+'[3]01 Duy Tien'!E33+'[3]01 Thanh Liem'!E33+'[3]01 Kim Bang'!E33+'[3]01 Binh Luc'!E33+'[3]01 Phu Ly'!E33</f>
        <v>1</v>
      </c>
      <c r="F33" s="142"/>
      <c r="G33" s="142"/>
      <c r="H33" s="142"/>
      <c r="I33" s="12">
        <f t="shared" si="13"/>
        <v>1</v>
      </c>
      <c r="J33" s="12">
        <f t="shared" si="4"/>
        <v>1</v>
      </c>
      <c r="K33" s="12">
        <f t="shared" si="14"/>
        <v>0</v>
      </c>
      <c r="L33" s="142"/>
      <c r="M33" s="142"/>
      <c r="N33" s="142">
        <v>1</v>
      </c>
      <c r="O33" s="142"/>
      <c r="P33" s="142"/>
      <c r="Q33" s="122">
        <f>'[3]01 Vp'!Q33+'[3]01 Ly Nhan'!Q33+'[3]01 Duy Tien'!Q33+'[3]01 Thanh Liem'!Q33+'[3]01 Kim Bang'!Q33+'[3]01 Binh Luc'!Q33+'[3]01 Phu Ly'!Q33</f>
        <v>0</v>
      </c>
      <c r="R33" s="142">
        <f>'[3]01 Vp'!R33+'[3]01 Ly Nhan'!R33+'[3]01 Duy Tien'!R33+'[3]01 Thanh Liem'!R33+'[3]01 Kim Bang'!R33+'[3]01 Binh Luc'!R33+'[3]01 Phu Ly'!R33</f>
        <v>0</v>
      </c>
      <c r="S33" s="142"/>
      <c r="T33" s="12">
        <f t="shared" si="8"/>
        <v>1</v>
      </c>
      <c r="U33" s="13">
        <f t="shared" si="6"/>
        <v>0</v>
      </c>
      <c r="V33" s="43">
        <f t="shared" si="9"/>
        <v>1</v>
      </c>
      <c r="W33" s="87">
        <f t="shared" si="10"/>
        <v>0</v>
      </c>
    </row>
    <row r="34" spans="1:23" ht="12.75" customHeight="1">
      <c r="A34" s="140" t="s">
        <v>34</v>
      </c>
      <c r="B34" s="141" t="s">
        <v>106</v>
      </c>
      <c r="C34" s="142">
        <f t="shared" si="7"/>
        <v>0</v>
      </c>
      <c r="D34" s="12">
        <f t="shared" si="12"/>
        <v>0</v>
      </c>
      <c r="E34" s="122">
        <f>'[3]01 Vp'!E34+'[3]01 Ly Nhan'!E34+'[3]01 Duy Tien'!E34+'[3]01 Thanh Liem'!E34+'[3]01 Kim Bang'!E34+'[3]01 Binh Luc'!E34+'[3]01 Phu Ly'!E34</f>
        <v>0</v>
      </c>
      <c r="F34" s="142"/>
      <c r="G34" s="142"/>
      <c r="H34" s="142"/>
      <c r="I34" s="12">
        <f t="shared" si="13"/>
        <v>0</v>
      </c>
      <c r="J34" s="12">
        <f t="shared" si="4"/>
        <v>0</v>
      </c>
      <c r="K34" s="12">
        <f t="shared" si="14"/>
        <v>0</v>
      </c>
      <c r="L34" s="142"/>
      <c r="M34" s="142"/>
      <c r="N34" s="142"/>
      <c r="O34" s="142"/>
      <c r="P34" s="142"/>
      <c r="Q34" s="122">
        <f>'[3]01 Vp'!Q34+'[3]01 Ly Nhan'!Q34+'[3]01 Duy Tien'!Q34+'[3]01 Thanh Liem'!Q34+'[3]01 Kim Bang'!Q34+'[3]01 Binh Luc'!Q34+'[3]01 Phu Ly'!Q34</f>
        <v>0</v>
      </c>
      <c r="R34" s="142">
        <f>'[3]01 Vp'!R34+'[3]01 Ly Nhan'!R34+'[3]01 Duy Tien'!R34+'[3]01 Thanh Liem'!R34+'[3]01 Kim Bang'!R34+'[3]01 Binh Luc'!R34+'[3]01 Phu Ly'!R34</f>
        <v>0</v>
      </c>
      <c r="S34" s="142"/>
      <c r="T34" s="12">
        <f t="shared" si="8"/>
        <v>0</v>
      </c>
      <c r="U34" s="13">
        <f t="shared" si="6"/>
      </c>
      <c r="V34" s="43">
        <f t="shared" si="9"/>
        <v>0</v>
      </c>
      <c r="W34" s="87">
        <f t="shared" si="10"/>
        <v>0</v>
      </c>
    </row>
    <row r="35" spans="1:23" ht="12.75" customHeight="1">
      <c r="A35" s="140" t="s">
        <v>35</v>
      </c>
      <c r="B35" s="141" t="s">
        <v>107</v>
      </c>
      <c r="C35" s="142">
        <f t="shared" si="7"/>
        <v>0</v>
      </c>
      <c r="D35" s="12">
        <f t="shared" si="12"/>
        <v>0</v>
      </c>
      <c r="E35" s="122">
        <f>'[3]01 Vp'!E35+'[3]01 Ly Nhan'!E35+'[3]01 Duy Tien'!E35+'[3]01 Thanh Liem'!E35+'[3]01 Kim Bang'!E35+'[3]01 Binh Luc'!E35+'[3]01 Phu Ly'!E35</f>
        <v>0</v>
      </c>
      <c r="F35" s="142"/>
      <c r="G35" s="142"/>
      <c r="H35" s="142"/>
      <c r="I35" s="12">
        <f t="shared" si="13"/>
        <v>0</v>
      </c>
      <c r="J35" s="12">
        <f t="shared" si="4"/>
        <v>0</v>
      </c>
      <c r="K35" s="12">
        <f t="shared" si="14"/>
        <v>0</v>
      </c>
      <c r="L35" s="142"/>
      <c r="M35" s="142"/>
      <c r="N35" s="142"/>
      <c r="O35" s="142"/>
      <c r="P35" s="142"/>
      <c r="Q35" s="122">
        <f>'[3]01 Vp'!Q35+'[3]01 Ly Nhan'!Q35+'[3]01 Duy Tien'!Q35+'[3]01 Thanh Liem'!Q35+'[3]01 Kim Bang'!Q35+'[3]01 Binh Luc'!Q35+'[3]01 Phu Ly'!Q35</f>
        <v>0</v>
      </c>
      <c r="R35" s="142">
        <f>'[3]01 Vp'!R35+'[3]01 Ly Nhan'!R35+'[3]01 Duy Tien'!R35+'[3]01 Thanh Liem'!R35+'[3]01 Kim Bang'!R35+'[3]01 Binh Luc'!R35+'[3]01 Phu Ly'!R35</f>
        <v>0</v>
      </c>
      <c r="S35" s="142"/>
      <c r="T35" s="12">
        <f t="shared" si="8"/>
        <v>0</v>
      </c>
      <c r="U35" s="13">
        <f t="shared" si="6"/>
      </c>
      <c r="V35" s="43">
        <f t="shared" si="9"/>
        <v>0</v>
      </c>
      <c r="W35" s="87">
        <f t="shared" si="10"/>
        <v>0</v>
      </c>
    </row>
    <row r="36" spans="1:23" ht="12.75" customHeight="1">
      <c r="A36" s="140" t="s">
        <v>36</v>
      </c>
      <c r="B36" s="141" t="s">
        <v>108</v>
      </c>
      <c r="C36" s="142">
        <f t="shared" si="7"/>
        <v>0</v>
      </c>
      <c r="D36" s="12">
        <f t="shared" si="12"/>
        <v>0</v>
      </c>
      <c r="E36" s="146"/>
      <c r="F36" s="142"/>
      <c r="G36" s="142"/>
      <c r="H36" s="142"/>
      <c r="I36" s="12">
        <f t="shared" si="13"/>
        <v>0</v>
      </c>
      <c r="J36" s="12">
        <f t="shared" si="4"/>
        <v>0</v>
      </c>
      <c r="K36" s="12">
        <f t="shared" si="14"/>
        <v>0</v>
      </c>
      <c r="L36" s="142"/>
      <c r="M36" s="142"/>
      <c r="N36" s="142"/>
      <c r="O36" s="142"/>
      <c r="P36" s="142"/>
      <c r="Q36" s="122">
        <f>'[3]01 Vp'!Q36+'[3]01 Ly Nhan'!Q36+'[3]01 Duy Tien'!Q36+'[3]01 Thanh Liem'!Q36+'[3]01 Kim Bang'!Q36+'[3]01 Binh Luc'!Q36+'[3]01 Phu Ly'!Q36</f>
        <v>0</v>
      </c>
      <c r="R36" s="142">
        <f>'[3]01 Vp'!R36+'[3]01 Ly Nhan'!R36+'[3]01 Duy Tien'!R36+'[3]01 Thanh Liem'!R36+'[3]01 Kim Bang'!R36+'[3]01 Binh Luc'!R36+'[3]01 Phu Ly'!R36</f>
        <v>0</v>
      </c>
      <c r="S36" s="142"/>
      <c r="T36" s="12">
        <f t="shared" si="8"/>
        <v>0</v>
      </c>
      <c r="U36" s="13">
        <f t="shared" si="6"/>
      </c>
      <c r="V36" s="43">
        <f t="shared" si="9"/>
        <v>0</v>
      </c>
      <c r="W36" s="87">
        <f t="shared" si="10"/>
        <v>0</v>
      </c>
    </row>
    <row r="37" spans="1:23" ht="12.75" customHeight="1">
      <c r="A37" s="140" t="s">
        <v>37</v>
      </c>
      <c r="B37" s="141" t="s">
        <v>109</v>
      </c>
      <c r="C37" s="142">
        <f t="shared" si="7"/>
        <v>0</v>
      </c>
      <c r="D37" s="12">
        <f t="shared" si="12"/>
        <v>0</v>
      </c>
      <c r="E37" s="146"/>
      <c r="F37" s="142"/>
      <c r="G37" s="142"/>
      <c r="H37" s="142"/>
      <c r="I37" s="12">
        <f t="shared" si="13"/>
        <v>0</v>
      </c>
      <c r="J37" s="12">
        <f t="shared" si="4"/>
        <v>0</v>
      </c>
      <c r="K37" s="12">
        <f t="shared" si="14"/>
        <v>0</v>
      </c>
      <c r="L37" s="142"/>
      <c r="M37" s="142"/>
      <c r="N37" s="142"/>
      <c r="O37" s="142"/>
      <c r="P37" s="142"/>
      <c r="Q37" s="122">
        <f>'[3]01 Vp'!Q37+'[3]01 Ly Nhan'!Q37+'[3]01 Duy Tien'!Q37+'[3]01 Thanh Liem'!Q37+'[3]01 Kim Bang'!Q37+'[3]01 Binh Luc'!Q37+'[3]01 Phu Ly'!Q37</f>
        <v>0</v>
      </c>
      <c r="R37" s="142">
        <f>'[3]01 Vp'!R37+'[3]01 Ly Nhan'!R37+'[3]01 Duy Tien'!R37+'[3]01 Thanh Liem'!R37+'[3]01 Kim Bang'!R37+'[3]01 Binh Luc'!R37+'[3]01 Phu Ly'!R37</f>
        <v>0</v>
      </c>
      <c r="S37" s="142"/>
      <c r="T37" s="12">
        <f>SUM(N37:S37)</f>
        <v>0</v>
      </c>
      <c r="U37" s="13">
        <f>IF(J37&lt;&gt;0,K37/J37,"")</f>
      </c>
      <c r="V37" s="43">
        <f t="shared" si="9"/>
        <v>0</v>
      </c>
      <c r="W37" s="87">
        <f t="shared" si="10"/>
        <v>0</v>
      </c>
    </row>
    <row r="38" spans="1:25" s="149" customFormat="1" ht="15.75" customHeight="1">
      <c r="A38" s="313"/>
      <c r="B38" s="314"/>
      <c r="C38" s="314"/>
      <c r="D38" s="314"/>
      <c r="E38" s="314"/>
      <c r="F38" s="147"/>
      <c r="G38" s="147"/>
      <c r="H38" s="147"/>
      <c r="I38" s="148"/>
      <c r="J38" s="148"/>
      <c r="K38" s="148"/>
      <c r="L38" s="148"/>
      <c r="M38" s="148"/>
      <c r="N38" s="315" t="s">
        <v>184</v>
      </c>
      <c r="O38" s="316"/>
      <c r="P38" s="316"/>
      <c r="Q38" s="316"/>
      <c r="R38" s="316"/>
      <c r="S38" s="316"/>
      <c r="T38" s="316"/>
      <c r="U38" s="316"/>
      <c r="V38" s="216"/>
      <c r="W38" s="216"/>
      <c r="Y38" s="216"/>
    </row>
    <row r="39" spans="1:21" ht="19.5" customHeight="1">
      <c r="A39" s="317" t="s">
        <v>84</v>
      </c>
      <c r="B39" s="318"/>
      <c r="C39" s="318"/>
      <c r="D39" s="318"/>
      <c r="E39" s="318"/>
      <c r="F39" s="150"/>
      <c r="G39" s="150"/>
      <c r="H39" s="150"/>
      <c r="I39" s="131"/>
      <c r="J39" s="131"/>
      <c r="K39" s="131"/>
      <c r="L39" s="131"/>
      <c r="M39" s="131"/>
      <c r="N39" s="319" t="str">
        <f>'[3]TT'!C5</f>
        <v>CỤC TRƯỞNG</v>
      </c>
      <c r="O39" s="319"/>
      <c r="P39" s="319"/>
      <c r="Q39" s="319"/>
      <c r="R39" s="319"/>
      <c r="S39" s="319"/>
      <c r="T39" s="319"/>
      <c r="U39" s="319"/>
    </row>
    <row r="40" spans="1:21" ht="39.75" customHeight="1">
      <c r="A40" s="151"/>
      <c r="B40" s="151"/>
      <c r="C40" s="151"/>
      <c r="D40" s="151"/>
      <c r="E40" s="151"/>
      <c r="F40" s="124"/>
      <c r="G40" s="124"/>
      <c r="H40" s="124"/>
      <c r="I40" s="131"/>
      <c r="J40" s="131"/>
      <c r="K40" s="131"/>
      <c r="L40" s="131"/>
      <c r="M40" s="131"/>
      <c r="N40" s="131"/>
      <c r="O40" s="131"/>
      <c r="P40" s="124"/>
      <c r="Q40" s="220"/>
      <c r="R40" s="124"/>
      <c r="S40" s="131"/>
      <c r="T40" s="127"/>
      <c r="U40" s="127"/>
    </row>
    <row r="41" spans="1:21" ht="15.75" customHeight="1">
      <c r="A41" s="307" t="s">
        <v>181</v>
      </c>
      <c r="B41" s="307"/>
      <c r="C41" s="307"/>
      <c r="D41" s="307"/>
      <c r="E41" s="307"/>
      <c r="F41" s="152" t="s">
        <v>45</v>
      </c>
      <c r="G41" s="152"/>
      <c r="H41" s="152"/>
      <c r="I41" s="152"/>
      <c r="J41" s="152"/>
      <c r="K41" s="152"/>
      <c r="L41" s="152"/>
      <c r="M41" s="152"/>
      <c r="N41" s="308" t="s">
        <v>180</v>
      </c>
      <c r="O41" s="308"/>
      <c r="P41" s="308"/>
      <c r="Q41" s="308"/>
      <c r="R41" s="308"/>
      <c r="S41" s="308"/>
      <c r="T41" s="308"/>
      <c r="U41" s="308"/>
    </row>
    <row r="42" spans="1:21" ht="15.75">
      <c r="A42" s="152"/>
      <c r="B42" s="152"/>
      <c r="C42" s="152"/>
      <c r="D42" s="152"/>
      <c r="E42" s="153"/>
      <c r="F42" s="152"/>
      <c r="G42" s="152"/>
      <c r="H42" s="152"/>
      <c r="I42" s="152"/>
      <c r="J42" s="152"/>
      <c r="K42" s="152"/>
      <c r="L42" s="152"/>
      <c r="M42" s="152"/>
      <c r="N42" s="154"/>
      <c r="O42" s="154"/>
      <c r="P42" s="154"/>
      <c r="Q42" s="155"/>
      <c r="R42" s="154"/>
      <c r="S42" s="154"/>
      <c r="T42" s="154"/>
      <c r="U42" s="154"/>
    </row>
  </sheetData>
  <sheetProtection formatCells="0" formatColumns="0" formatRows="0" insertRows="0"/>
  <mergeCells count="35">
    <mergeCell ref="A1:D1"/>
    <mergeCell ref="E1:O1"/>
    <mergeCell ref="P1:U1"/>
    <mergeCell ref="P2:U2"/>
    <mergeCell ref="A3:A7"/>
    <mergeCell ref="B3:B7"/>
    <mergeCell ref="C3:C7"/>
    <mergeCell ref="D3:D7"/>
    <mergeCell ref="E3:F3"/>
    <mergeCell ref="G3:G7"/>
    <mergeCell ref="H3:H7"/>
    <mergeCell ref="I3:I7"/>
    <mergeCell ref="J3:S3"/>
    <mergeCell ref="T3:T7"/>
    <mergeCell ref="U3:U7"/>
    <mergeCell ref="E4:E7"/>
    <mergeCell ref="F4:F7"/>
    <mergeCell ref="J4:J7"/>
    <mergeCell ref="K4:P4"/>
    <mergeCell ref="Q4:Q7"/>
    <mergeCell ref="R4:R7"/>
    <mergeCell ref="S4:S7"/>
    <mergeCell ref="K5:K7"/>
    <mergeCell ref="L5:M6"/>
    <mergeCell ref="N5:N7"/>
    <mergeCell ref="O5:O7"/>
    <mergeCell ref="P5:P7"/>
    <mergeCell ref="A41:E41"/>
    <mergeCell ref="N41:U41"/>
    <mergeCell ref="A8:B8"/>
    <mergeCell ref="A9:B9"/>
    <mergeCell ref="A38:E38"/>
    <mergeCell ref="N38:U38"/>
    <mergeCell ref="A39:E39"/>
    <mergeCell ref="N39:U39"/>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F36"/>
  <sheetViews>
    <sheetView view="pageBreakPreview" zoomScaleNormal="90" zoomScaleSheetLayoutView="100" zoomScalePageLayoutView="0" workbookViewId="0" topLeftCell="A19">
      <selection activeCell="F35" sqref="F35"/>
    </sheetView>
  </sheetViews>
  <sheetFormatPr defaultColWidth="9.00390625" defaultRowHeight="15.75"/>
  <cols>
    <col min="1" max="1" width="7.25390625" style="170" customWidth="1"/>
    <col min="2" max="2" width="46.25390625" style="170" customWidth="1"/>
    <col min="3" max="3" width="16.875" style="170" customWidth="1"/>
    <col min="4" max="4" width="18.875" style="170" customWidth="1"/>
    <col min="5" max="5" width="16.00390625" style="225" customWidth="1"/>
    <col min="6" max="6" width="9.00390625" style="225" customWidth="1"/>
    <col min="7" max="16384" width="9.00390625" style="170" customWidth="1"/>
  </cols>
  <sheetData>
    <row r="1" spans="1:6" s="158" customFormat="1" ht="60" customHeight="1">
      <c r="A1" s="337" t="s">
        <v>111</v>
      </c>
      <c r="B1" s="338"/>
      <c r="C1" s="338"/>
      <c r="D1" s="338"/>
      <c r="E1" s="222"/>
      <c r="F1" s="222"/>
    </row>
    <row r="2" spans="1:6" s="160" customFormat="1" ht="18.75" customHeight="1">
      <c r="A2" s="339" t="s">
        <v>112</v>
      </c>
      <c r="B2" s="340"/>
      <c r="C2" s="159" t="s">
        <v>113</v>
      </c>
      <c r="D2" s="159" t="s">
        <v>114</v>
      </c>
      <c r="E2" s="223"/>
      <c r="F2" s="223"/>
    </row>
    <row r="3" spans="1:6" s="164" customFormat="1" ht="18" customHeight="1">
      <c r="A3" s="161" t="s">
        <v>25</v>
      </c>
      <c r="B3" s="162" t="s">
        <v>115</v>
      </c>
      <c r="C3" s="163">
        <f>C4+C5+C7+C8+C9+C11</f>
        <v>18</v>
      </c>
      <c r="D3" s="163">
        <f>D4+D5+D6+D7+D8+D10+D11</f>
        <v>0</v>
      </c>
      <c r="E3" s="224"/>
      <c r="F3" s="224"/>
    </row>
    <row r="4" spans="1:6" s="164" customFormat="1" ht="18" customHeight="1">
      <c r="A4" s="165" t="s">
        <v>116</v>
      </c>
      <c r="B4" s="166" t="s">
        <v>117</v>
      </c>
      <c r="C4" s="167">
        <v>2</v>
      </c>
      <c r="D4" s="167"/>
      <c r="E4" s="224"/>
      <c r="F4" s="224"/>
    </row>
    <row r="5" spans="1:6" s="164" customFormat="1" ht="18" customHeight="1">
      <c r="A5" s="165" t="s">
        <v>118</v>
      </c>
      <c r="B5" s="166" t="s">
        <v>119</v>
      </c>
      <c r="C5" s="167"/>
      <c r="D5" s="167"/>
      <c r="E5" s="224"/>
      <c r="F5" s="224"/>
    </row>
    <row r="6" spans="1:6" s="164" customFormat="1" ht="18" customHeight="1">
      <c r="A6" s="165" t="s">
        <v>120</v>
      </c>
      <c r="B6" s="166" t="s">
        <v>121</v>
      </c>
      <c r="C6" s="168"/>
      <c r="D6" s="167"/>
      <c r="E6" s="224"/>
      <c r="F6" s="224"/>
    </row>
    <row r="7" spans="1:6" s="164" customFormat="1" ht="18" customHeight="1">
      <c r="A7" s="165" t="s">
        <v>122</v>
      </c>
      <c r="B7" s="166" t="s">
        <v>123</v>
      </c>
      <c r="C7" s="167"/>
      <c r="D7" s="167"/>
      <c r="E7" s="224"/>
      <c r="F7" s="224"/>
    </row>
    <row r="8" spans="1:6" s="164" customFormat="1" ht="18" customHeight="1">
      <c r="A8" s="165" t="s">
        <v>124</v>
      </c>
      <c r="B8" s="166" t="s">
        <v>125</v>
      </c>
      <c r="C8" s="167"/>
      <c r="D8" s="167"/>
      <c r="E8" s="224"/>
      <c r="F8" s="224"/>
    </row>
    <row r="9" spans="1:6" s="164" customFormat="1" ht="18" customHeight="1">
      <c r="A9" s="165" t="s">
        <v>126</v>
      </c>
      <c r="B9" s="166" t="s">
        <v>127</v>
      </c>
      <c r="C9" s="167">
        <v>16</v>
      </c>
      <c r="D9" s="168"/>
      <c r="E9" s="224"/>
      <c r="F9" s="224"/>
    </row>
    <row r="10" spans="1:6" s="164" customFormat="1" ht="18" customHeight="1">
      <c r="A10" s="165" t="s">
        <v>128</v>
      </c>
      <c r="B10" s="166" t="s">
        <v>129</v>
      </c>
      <c r="C10" s="168"/>
      <c r="D10" s="167"/>
      <c r="E10" s="224"/>
      <c r="F10" s="224"/>
    </row>
    <row r="11" spans="1:6" s="164" customFormat="1" ht="18" customHeight="1">
      <c r="A11" s="165" t="s">
        <v>130</v>
      </c>
      <c r="B11" s="166" t="s">
        <v>131</v>
      </c>
      <c r="C11" s="167"/>
      <c r="D11" s="167"/>
      <c r="E11" s="224"/>
      <c r="F11" s="224"/>
    </row>
    <row r="12" spans="1:4" ht="18" customHeight="1">
      <c r="A12" s="161" t="s">
        <v>26</v>
      </c>
      <c r="B12" s="162" t="s">
        <v>21</v>
      </c>
      <c r="C12" s="169">
        <f>SUM(C13:C15)</f>
        <v>1</v>
      </c>
      <c r="D12" s="169">
        <f>SUM(D13:D15)</f>
        <v>3</v>
      </c>
    </row>
    <row r="13" spans="1:4" ht="18" customHeight="1">
      <c r="A13" s="165" t="s">
        <v>132</v>
      </c>
      <c r="B13" s="171" t="s">
        <v>133</v>
      </c>
      <c r="C13" s="172">
        <v>1</v>
      </c>
      <c r="D13" s="167">
        <v>3</v>
      </c>
    </row>
    <row r="14" spans="1:4" ht="18" customHeight="1">
      <c r="A14" s="165" t="s">
        <v>134</v>
      </c>
      <c r="B14" s="171" t="s">
        <v>135</v>
      </c>
      <c r="C14" s="172"/>
      <c r="D14" s="167"/>
    </row>
    <row r="15" spans="1:6" s="164" customFormat="1" ht="18" customHeight="1">
      <c r="A15" s="165" t="s">
        <v>136</v>
      </c>
      <c r="B15" s="166" t="s">
        <v>137</v>
      </c>
      <c r="C15" s="167"/>
      <c r="D15" s="167"/>
      <c r="E15" s="224"/>
      <c r="F15" s="224"/>
    </row>
    <row r="16" spans="1:4" ht="18" customHeight="1">
      <c r="A16" s="161" t="s">
        <v>27</v>
      </c>
      <c r="B16" s="162" t="s">
        <v>138</v>
      </c>
      <c r="C16" s="169">
        <f>C17+C18+C20+C21+C22+C23+C25</f>
        <v>0</v>
      </c>
      <c r="D16" s="167">
        <f>SUM(D17:D25)</f>
        <v>0</v>
      </c>
    </row>
    <row r="17" spans="1:6" s="164" customFormat="1" ht="18" customHeight="1">
      <c r="A17" s="165" t="s">
        <v>139</v>
      </c>
      <c r="B17" s="166" t="s">
        <v>140</v>
      </c>
      <c r="C17" s="167"/>
      <c r="D17" s="167"/>
      <c r="E17" s="224"/>
      <c r="F17" s="224"/>
    </row>
    <row r="18" spans="1:6" s="164" customFormat="1" ht="18" customHeight="1">
      <c r="A18" s="165" t="s">
        <v>141</v>
      </c>
      <c r="B18" s="166" t="s">
        <v>142</v>
      </c>
      <c r="C18" s="167"/>
      <c r="D18" s="167"/>
      <c r="E18" s="224"/>
      <c r="F18" s="224"/>
    </row>
    <row r="19" spans="1:6" s="164" customFormat="1" ht="18" customHeight="1">
      <c r="A19" s="165" t="s">
        <v>143</v>
      </c>
      <c r="B19" s="166" t="s">
        <v>144</v>
      </c>
      <c r="C19" s="168"/>
      <c r="D19" s="167"/>
      <c r="E19" s="224"/>
      <c r="F19" s="224"/>
    </row>
    <row r="20" spans="1:6" s="173" customFormat="1" ht="18" customHeight="1">
      <c r="A20" s="165" t="s">
        <v>145</v>
      </c>
      <c r="B20" s="166" t="s">
        <v>146</v>
      </c>
      <c r="C20" s="167"/>
      <c r="D20" s="167"/>
      <c r="E20" s="226"/>
      <c r="F20" s="226"/>
    </row>
    <row r="21" spans="1:6" s="164" customFormat="1" ht="18" customHeight="1">
      <c r="A21" s="165" t="s">
        <v>147</v>
      </c>
      <c r="B21" s="166" t="s">
        <v>148</v>
      </c>
      <c r="C21" s="167"/>
      <c r="D21" s="167"/>
      <c r="E21" s="224"/>
      <c r="F21" s="224"/>
    </row>
    <row r="22" spans="1:6" s="164" customFormat="1" ht="18" customHeight="1">
      <c r="A22" s="165" t="s">
        <v>149</v>
      </c>
      <c r="B22" s="166" t="s">
        <v>150</v>
      </c>
      <c r="C22" s="167"/>
      <c r="D22" s="167"/>
      <c r="E22" s="224"/>
      <c r="F22" s="224"/>
    </row>
    <row r="23" spans="1:6" s="164" customFormat="1" ht="18" customHeight="1">
      <c r="A23" s="165" t="s">
        <v>151</v>
      </c>
      <c r="B23" s="166" t="s">
        <v>152</v>
      </c>
      <c r="C23" s="167"/>
      <c r="D23" s="167"/>
      <c r="E23" s="224"/>
      <c r="F23" s="224"/>
    </row>
    <row r="24" spans="1:6" s="164" customFormat="1" ht="18" customHeight="1">
      <c r="A24" s="165" t="s">
        <v>153</v>
      </c>
      <c r="B24" s="166" t="s">
        <v>154</v>
      </c>
      <c r="C24" s="168"/>
      <c r="D24" s="167"/>
      <c r="E24" s="224"/>
      <c r="F24" s="224"/>
    </row>
    <row r="25" spans="1:6" s="173" customFormat="1" ht="18" customHeight="1">
      <c r="A25" s="165" t="s">
        <v>155</v>
      </c>
      <c r="B25" s="166" t="s">
        <v>156</v>
      </c>
      <c r="C25" s="167"/>
      <c r="D25" s="167"/>
      <c r="E25" s="226"/>
      <c r="F25" s="226"/>
    </row>
    <row r="26" spans="1:6" s="174" customFormat="1" ht="18" customHeight="1">
      <c r="A26" s="161" t="s">
        <v>28</v>
      </c>
      <c r="B26" s="162" t="s">
        <v>157</v>
      </c>
      <c r="C26" s="169">
        <f>C27+C28</f>
        <v>4</v>
      </c>
      <c r="D26" s="169">
        <f>D27+D28</f>
        <v>3</v>
      </c>
      <c r="E26" s="227"/>
      <c r="F26" s="227"/>
    </row>
    <row r="27" spans="1:6" s="175" customFormat="1" ht="18" customHeight="1">
      <c r="A27" s="165" t="s">
        <v>158</v>
      </c>
      <c r="B27" s="166" t="s">
        <v>159</v>
      </c>
      <c r="C27" s="167">
        <v>3</v>
      </c>
      <c r="D27" s="167">
        <v>3</v>
      </c>
      <c r="E27" s="228"/>
      <c r="F27" s="228"/>
    </row>
    <row r="28" spans="1:6" s="176" customFormat="1" ht="18" customHeight="1">
      <c r="A28" s="165" t="s">
        <v>160</v>
      </c>
      <c r="B28" s="166" t="s">
        <v>161</v>
      </c>
      <c r="C28" s="167">
        <v>1</v>
      </c>
      <c r="D28" s="167"/>
      <c r="E28" s="229"/>
      <c r="F28" s="229"/>
    </row>
    <row r="29" spans="1:6" s="164" customFormat="1" ht="18" customHeight="1">
      <c r="A29" s="177" t="s">
        <v>29</v>
      </c>
      <c r="B29" s="178" t="s">
        <v>162</v>
      </c>
      <c r="C29" s="169">
        <f>SUM(C30:C33)</f>
        <v>313</v>
      </c>
      <c r="D29" s="169">
        <f>SUM(D30:D33)</f>
        <v>60</v>
      </c>
      <c r="E29" s="230"/>
      <c r="F29" s="224"/>
    </row>
    <row r="30" spans="1:6" s="164" customFormat="1" ht="18" customHeight="1">
      <c r="A30" s="179" t="s">
        <v>163</v>
      </c>
      <c r="B30" s="180" t="s">
        <v>164</v>
      </c>
      <c r="C30" s="167">
        <v>298</v>
      </c>
      <c r="D30" s="167">
        <v>57</v>
      </c>
      <c r="E30" s="230"/>
      <c r="F30" s="224"/>
    </row>
    <row r="31" spans="1:6" s="181" customFormat="1" ht="18" customHeight="1">
      <c r="A31" s="179" t="s">
        <v>165</v>
      </c>
      <c r="B31" s="180" t="s">
        <v>166</v>
      </c>
      <c r="C31" s="167"/>
      <c r="D31" s="167"/>
      <c r="E31" s="230"/>
      <c r="F31" s="434"/>
    </row>
    <row r="32" spans="1:6" s="181" customFormat="1" ht="18" customHeight="1">
      <c r="A32" s="179" t="s">
        <v>167</v>
      </c>
      <c r="B32" s="180" t="s">
        <v>168</v>
      </c>
      <c r="C32" s="167"/>
      <c r="D32" s="167"/>
      <c r="E32" s="230"/>
      <c r="F32" s="432"/>
    </row>
    <row r="33" spans="1:6" s="182" customFormat="1" ht="18" customHeight="1">
      <c r="A33" s="179" t="s">
        <v>169</v>
      </c>
      <c r="B33" s="180" t="s">
        <v>170</v>
      </c>
      <c r="C33" s="167">
        <v>15</v>
      </c>
      <c r="D33" s="167">
        <v>3</v>
      </c>
      <c r="E33" s="230"/>
      <c r="F33" s="433"/>
    </row>
    <row r="34" spans="1:6" s="182" customFormat="1" ht="18" customHeight="1">
      <c r="A34" s="177" t="s">
        <v>30</v>
      </c>
      <c r="B34" s="178" t="s">
        <v>171</v>
      </c>
      <c r="C34" s="169">
        <v>254</v>
      </c>
      <c r="D34" s="169">
        <v>16</v>
      </c>
      <c r="E34" s="230"/>
      <c r="F34" s="433"/>
    </row>
    <row r="35" spans="1:6" s="182" customFormat="1" ht="42" customHeight="1">
      <c r="A35" s="341" t="s">
        <v>172</v>
      </c>
      <c r="B35" s="341"/>
      <c r="C35" s="341"/>
      <c r="D35" s="341"/>
      <c r="E35" s="231"/>
      <c r="F35" s="433"/>
    </row>
    <row r="36" spans="1:4" ht="15.75">
      <c r="A36" s="342" t="s">
        <v>173</v>
      </c>
      <c r="B36" s="342"/>
      <c r="C36" s="342"/>
      <c r="D36" s="342"/>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Y42"/>
  <sheetViews>
    <sheetView view="pageBreakPreview" zoomScale="80" zoomScaleSheetLayoutView="80" zoomScalePageLayoutView="0" workbookViewId="0" topLeftCell="A7">
      <selection activeCell="D27" sqref="D27"/>
    </sheetView>
  </sheetViews>
  <sheetFormatPr defaultColWidth="9.00390625" defaultRowHeight="15.75"/>
  <cols>
    <col min="1" max="1" width="3.75390625" style="1" customWidth="1"/>
    <col min="2" max="2" width="24.125" style="1" customWidth="1"/>
    <col min="3" max="3" width="12.00390625" style="1" customWidth="1"/>
    <col min="4" max="4" width="10.00390625" style="183" customWidth="1"/>
    <col min="5" max="5" width="10.00390625" style="1" customWidth="1"/>
    <col min="6" max="6" width="8.25390625" style="1" customWidth="1"/>
    <col min="7" max="7" width="7.00390625" style="1" customWidth="1"/>
    <col min="8" max="8" width="11.875" style="1" customWidth="1"/>
    <col min="9" max="9" width="10.75390625" style="1" customWidth="1"/>
    <col min="10" max="10" width="9.50390625" style="1" customWidth="1"/>
    <col min="11" max="11" width="9.875" style="1" customWidth="1"/>
    <col min="12" max="12" width="8.75390625" style="1" customWidth="1"/>
    <col min="13" max="13" width="7.625" style="32" customWidth="1"/>
    <col min="14" max="14" width="10.625" style="32" customWidth="1"/>
    <col min="15" max="15" width="7.125" style="32" customWidth="1"/>
    <col min="16" max="16" width="7.25390625" style="32" customWidth="1"/>
    <col min="17" max="17" width="10.375" style="210" customWidth="1"/>
    <col min="18" max="18" width="7.00390625" style="32" customWidth="1"/>
    <col min="19" max="19" width="8.375" style="32" customWidth="1"/>
    <col min="20" max="20" width="10.625" style="32" customWidth="1"/>
    <col min="21" max="21" width="6.75390625" style="32" customWidth="1"/>
    <col min="22" max="22" width="12.125" style="40" bestFit="1" customWidth="1"/>
    <col min="23" max="23" width="12.75390625" style="40" bestFit="1" customWidth="1"/>
    <col min="24" max="24" width="9.00390625" style="40" customWidth="1"/>
    <col min="25" max="25" width="9.25390625" style="40" bestFit="1" customWidth="1"/>
    <col min="26" max="16384" width="9.00390625" style="1" customWidth="1"/>
  </cols>
  <sheetData>
    <row r="1" spans="1:21" ht="65.25" customHeight="1">
      <c r="A1" s="359" t="s">
        <v>174</v>
      </c>
      <c r="B1" s="359"/>
      <c r="C1" s="359"/>
      <c r="D1" s="359"/>
      <c r="E1" s="330" t="s">
        <v>177</v>
      </c>
      <c r="F1" s="330"/>
      <c r="G1" s="330"/>
      <c r="H1" s="330"/>
      <c r="I1" s="330"/>
      <c r="J1" s="330"/>
      <c r="K1" s="330"/>
      <c r="L1" s="330"/>
      <c r="M1" s="330"/>
      <c r="N1" s="330"/>
      <c r="O1" s="330"/>
      <c r="P1" s="360" t="str">
        <f>'[3]TT'!C2</f>
        <v>Đơn vị  báo cáo: 
Đơn vị nhận báo cáo: </v>
      </c>
      <c r="Q1" s="360"/>
      <c r="R1" s="360"/>
      <c r="S1" s="360"/>
      <c r="T1" s="360"/>
      <c r="U1" s="360"/>
    </row>
    <row r="2" spans="1:21" ht="17.25" customHeight="1">
      <c r="A2" s="2"/>
      <c r="B2" s="4"/>
      <c r="C2" s="4"/>
      <c r="D2" s="5"/>
      <c r="E2" s="5"/>
      <c r="F2" s="5"/>
      <c r="G2" s="5"/>
      <c r="H2" s="34"/>
      <c r="I2" s="35"/>
      <c r="J2" s="7"/>
      <c r="K2" s="7"/>
      <c r="L2" s="7"/>
      <c r="M2" s="36"/>
      <c r="N2" s="8"/>
      <c r="O2" s="8"/>
      <c r="P2" s="361" t="s">
        <v>86</v>
      </c>
      <c r="Q2" s="361"/>
      <c r="R2" s="361"/>
      <c r="S2" s="361"/>
      <c r="T2" s="361"/>
      <c r="U2" s="361"/>
    </row>
    <row r="3" spans="1:25" s="9" customFormat="1" ht="15.75" customHeight="1">
      <c r="A3" s="362" t="s">
        <v>2</v>
      </c>
      <c r="B3" s="362" t="s">
        <v>3</v>
      </c>
      <c r="C3" s="350" t="s">
        <v>5</v>
      </c>
      <c r="D3" s="350" t="s">
        <v>6</v>
      </c>
      <c r="E3" s="350"/>
      <c r="F3" s="350" t="s">
        <v>7</v>
      </c>
      <c r="G3" s="365" t="s">
        <v>87</v>
      </c>
      <c r="H3" s="350" t="s">
        <v>9</v>
      </c>
      <c r="I3" s="351" t="s">
        <v>6</v>
      </c>
      <c r="J3" s="352"/>
      <c r="K3" s="352"/>
      <c r="L3" s="352"/>
      <c r="M3" s="352"/>
      <c r="N3" s="352"/>
      <c r="O3" s="352"/>
      <c r="P3" s="352"/>
      <c r="Q3" s="352"/>
      <c r="R3" s="352"/>
      <c r="S3" s="352"/>
      <c r="T3" s="353" t="s">
        <v>10</v>
      </c>
      <c r="U3" s="356" t="s">
        <v>11</v>
      </c>
      <c r="V3" s="41"/>
      <c r="W3" s="41"/>
      <c r="X3" s="41"/>
      <c r="Y3" s="41"/>
    </row>
    <row r="4" spans="1:25" s="10" customFormat="1" ht="15.75" customHeight="1">
      <c r="A4" s="363"/>
      <c r="B4" s="363"/>
      <c r="C4" s="350"/>
      <c r="D4" s="358" t="s">
        <v>12</v>
      </c>
      <c r="E4" s="350" t="s">
        <v>13</v>
      </c>
      <c r="F4" s="350"/>
      <c r="G4" s="365"/>
      <c r="H4" s="350"/>
      <c r="I4" s="350" t="s">
        <v>14</v>
      </c>
      <c r="J4" s="350" t="s">
        <v>6</v>
      </c>
      <c r="K4" s="350"/>
      <c r="L4" s="350"/>
      <c r="M4" s="350"/>
      <c r="N4" s="350"/>
      <c r="O4" s="350"/>
      <c r="P4" s="350"/>
      <c r="Q4" s="358" t="s">
        <v>15</v>
      </c>
      <c r="R4" s="350" t="s">
        <v>16</v>
      </c>
      <c r="S4" s="349" t="s">
        <v>17</v>
      </c>
      <c r="T4" s="354"/>
      <c r="U4" s="357"/>
      <c r="V4" s="42"/>
      <c r="W4" s="42"/>
      <c r="X4" s="42"/>
      <c r="Y4" s="42"/>
    </row>
    <row r="5" spans="1:25" s="9" customFormat="1" ht="15.75" customHeight="1">
      <c r="A5" s="363"/>
      <c r="B5" s="363"/>
      <c r="C5" s="350"/>
      <c r="D5" s="358"/>
      <c r="E5" s="350"/>
      <c r="F5" s="350"/>
      <c r="G5" s="365"/>
      <c r="H5" s="350"/>
      <c r="I5" s="350"/>
      <c r="J5" s="350" t="s">
        <v>18</v>
      </c>
      <c r="K5" s="350" t="s">
        <v>6</v>
      </c>
      <c r="L5" s="350"/>
      <c r="M5" s="350"/>
      <c r="N5" s="350" t="s">
        <v>19</v>
      </c>
      <c r="O5" s="350" t="s">
        <v>20</v>
      </c>
      <c r="P5" s="350" t="s">
        <v>21</v>
      </c>
      <c r="Q5" s="358"/>
      <c r="R5" s="350"/>
      <c r="S5" s="349"/>
      <c r="T5" s="354"/>
      <c r="U5" s="357"/>
      <c r="V5" s="41"/>
      <c r="W5" s="41"/>
      <c r="X5" s="41"/>
      <c r="Y5" s="41"/>
    </row>
    <row r="6" spans="1:25" s="9" customFormat="1" ht="15.75" customHeight="1">
      <c r="A6" s="363"/>
      <c r="B6" s="363"/>
      <c r="C6" s="350"/>
      <c r="D6" s="358"/>
      <c r="E6" s="350"/>
      <c r="F6" s="350"/>
      <c r="G6" s="365"/>
      <c r="H6" s="350"/>
      <c r="I6" s="350"/>
      <c r="J6" s="350"/>
      <c r="K6" s="350"/>
      <c r="L6" s="350"/>
      <c r="M6" s="350"/>
      <c r="N6" s="350"/>
      <c r="O6" s="350"/>
      <c r="P6" s="350"/>
      <c r="Q6" s="358"/>
      <c r="R6" s="350"/>
      <c r="S6" s="349"/>
      <c r="T6" s="354"/>
      <c r="U6" s="357"/>
      <c r="V6" s="41"/>
      <c r="W6" s="41"/>
      <c r="X6" s="41"/>
      <c r="Y6" s="41"/>
    </row>
    <row r="7" spans="1:25" s="9" customFormat="1" ht="57" customHeight="1">
      <c r="A7" s="364"/>
      <c r="B7" s="364"/>
      <c r="C7" s="350"/>
      <c r="D7" s="358"/>
      <c r="E7" s="350"/>
      <c r="F7" s="350"/>
      <c r="G7" s="365"/>
      <c r="H7" s="350"/>
      <c r="I7" s="350"/>
      <c r="J7" s="350"/>
      <c r="K7" s="121" t="s">
        <v>22</v>
      </c>
      <c r="L7" s="121" t="s">
        <v>23</v>
      </c>
      <c r="M7" s="121" t="s">
        <v>88</v>
      </c>
      <c r="N7" s="350"/>
      <c r="O7" s="350"/>
      <c r="P7" s="350"/>
      <c r="Q7" s="358"/>
      <c r="R7" s="350"/>
      <c r="S7" s="349"/>
      <c r="T7" s="355"/>
      <c r="U7" s="357"/>
      <c r="V7" s="41"/>
      <c r="W7" s="44"/>
      <c r="X7" s="41"/>
      <c r="Y7" s="41"/>
    </row>
    <row r="8" spans="1:25" ht="18" customHeight="1">
      <c r="A8" s="343" t="s">
        <v>24</v>
      </c>
      <c r="B8" s="344"/>
      <c r="C8" s="11" t="s">
        <v>25</v>
      </c>
      <c r="D8" s="184" t="s">
        <v>26</v>
      </c>
      <c r="E8" s="11" t="s">
        <v>27</v>
      </c>
      <c r="F8" s="11" t="s">
        <v>28</v>
      </c>
      <c r="G8" s="11" t="s">
        <v>29</v>
      </c>
      <c r="H8" s="11" t="s">
        <v>30</v>
      </c>
      <c r="I8" s="11" t="s">
        <v>31</v>
      </c>
      <c r="J8" s="11" t="s">
        <v>32</v>
      </c>
      <c r="K8" s="11" t="s">
        <v>33</v>
      </c>
      <c r="L8" s="11" t="s">
        <v>34</v>
      </c>
      <c r="M8" s="11" t="s">
        <v>35</v>
      </c>
      <c r="N8" s="11" t="s">
        <v>36</v>
      </c>
      <c r="O8" s="11" t="s">
        <v>37</v>
      </c>
      <c r="P8" s="11" t="s">
        <v>38</v>
      </c>
      <c r="Q8" s="184" t="s">
        <v>39</v>
      </c>
      <c r="R8" s="11" t="s">
        <v>40</v>
      </c>
      <c r="S8" s="11" t="s">
        <v>41</v>
      </c>
      <c r="T8" s="11" t="s">
        <v>42</v>
      </c>
      <c r="U8" s="11" t="s">
        <v>43</v>
      </c>
      <c r="V8" s="40">
        <f>'05'!D9</f>
        <v>797265657</v>
      </c>
      <c r="W8" s="40">
        <f>'05'!Q9</f>
        <v>113285184</v>
      </c>
      <c r="X8" s="217">
        <f>'05'!K9-'02'!K9</f>
        <v>0</v>
      </c>
      <c r="Y8" s="217">
        <f>'05'!N9-'02'!N9</f>
        <v>0</v>
      </c>
    </row>
    <row r="9" spans="1:23" ht="15.75" customHeight="1">
      <c r="A9" s="345" t="s">
        <v>44</v>
      </c>
      <c r="B9" s="346"/>
      <c r="C9" s="185">
        <f>C10+C24</f>
        <v>1001463663</v>
      </c>
      <c r="D9" s="186">
        <f aca="true" t="shared" si="0" ref="D9:T9">D10+D24</f>
        <v>797265657</v>
      </c>
      <c r="E9" s="185">
        <f t="shared" si="0"/>
        <v>204198006</v>
      </c>
      <c r="F9" s="185">
        <f t="shared" si="0"/>
        <v>386464</v>
      </c>
      <c r="G9" s="185">
        <f t="shared" si="0"/>
        <v>0</v>
      </c>
      <c r="H9" s="185">
        <f>C9-F9-G9</f>
        <v>1001077199</v>
      </c>
      <c r="I9" s="185">
        <f t="shared" si="0"/>
        <v>886779957</v>
      </c>
      <c r="J9" s="185">
        <f t="shared" si="0"/>
        <v>19827773</v>
      </c>
      <c r="K9" s="219">
        <f t="shared" si="0"/>
        <v>11927598</v>
      </c>
      <c r="L9" s="185">
        <f t="shared" si="0"/>
        <v>7808261</v>
      </c>
      <c r="M9" s="185">
        <f t="shared" si="0"/>
        <v>91914</v>
      </c>
      <c r="N9" s="219">
        <f t="shared" si="0"/>
        <v>866745388</v>
      </c>
      <c r="O9" s="185">
        <f t="shared" si="0"/>
        <v>0</v>
      </c>
      <c r="P9" s="185">
        <f t="shared" si="0"/>
        <v>206796</v>
      </c>
      <c r="Q9" s="186">
        <f t="shared" si="0"/>
        <v>113285184</v>
      </c>
      <c r="R9" s="185">
        <f t="shared" si="0"/>
        <v>0</v>
      </c>
      <c r="S9" s="185">
        <f t="shared" si="0"/>
        <v>1012058</v>
      </c>
      <c r="T9" s="185">
        <f t="shared" si="0"/>
        <v>981249426</v>
      </c>
      <c r="U9" s="187">
        <f>IF(I9&lt;&gt;0,J9/I9,"")</f>
        <v>0.022359293129580734</v>
      </c>
      <c r="V9" s="217">
        <f>V8-D9</f>
        <v>0</v>
      </c>
      <c r="W9" s="217">
        <f>W8-Q9</f>
        <v>0</v>
      </c>
    </row>
    <row r="10" spans="1:23" ht="15.75" customHeight="1">
      <c r="A10" s="188" t="s">
        <v>46</v>
      </c>
      <c r="B10" s="189" t="s">
        <v>96</v>
      </c>
      <c r="C10" s="190">
        <f>SUM(C11:C23)</f>
        <v>28960408</v>
      </c>
      <c r="D10" s="191">
        <f aca="true" t="shared" si="1" ref="D10:T10">SUM(D11:D23)</f>
        <v>19555966</v>
      </c>
      <c r="E10" s="190">
        <f>SUM(E11:E23)</f>
        <v>9404442</v>
      </c>
      <c r="F10" s="190">
        <f t="shared" si="1"/>
        <v>259114</v>
      </c>
      <c r="G10" s="190">
        <f t="shared" si="1"/>
        <v>0</v>
      </c>
      <c r="H10" s="185">
        <f aca="true" t="shared" si="2" ref="H10:H37">C10-F10-G10</f>
        <v>28701294</v>
      </c>
      <c r="I10" s="190">
        <f t="shared" si="1"/>
        <v>16999035</v>
      </c>
      <c r="J10" s="190">
        <f t="shared" si="1"/>
        <v>2812020</v>
      </c>
      <c r="K10" s="190">
        <f t="shared" si="1"/>
        <v>2630885</v>
      </c>
      <c r="L10" s="190">
        <f t="shared" si="1"/>
        <v>89221</v>
      </c>
      <c r="M10" s="190">
        <f t="shared" si="1"/>
        <v>91914</v>
      </c>
      <c r="N10" s="190">
        <f t="shared" si="1"/>
        <v>14184529</v>
      </c>
      <c r="O10" s="190">
        <f t="shared" si="1"/>
        <v>0</v>
      </c>
      <c r="P10" s="190">
        <f t="shared" si="1"/>
        <v>2486</v>
      </c>
      <c r="Q10" s="191">
        <f t="shared" si="1"/>
        <v>11458841</v>
      </c>
      <c r="R10" s="190">
        <f t="shared" si="1"/>
        <v>0</v>
      </c>
      <c r="S10" s="190">
        <f t="shared" si="1"/>
        <v>243418</v>
      </c>
      <c r="T10" s="190">
        <f t="shared" si="1"/>
        <v>25889274</v>
      </c>
      <c r="U10" s="187">
        <f aca="true" t="shared" si="3" ref="U10:U37">IF(I10&lt;&gt;0,J10/I10,"")</f>
        <v>0.1654223313264547</v>
      </c>
      <c r="V10" s="217"/>
      <c r="W10" s="217"/>
    </row>
    <row r="11" spans="1:23" ht="15.75" customHeight="1">
      <c r="A11" s="192" t="s">
        <v>25</v>
      </c>
      <c r="B11" s="193" t="s">
        <v>97</v>
      </c>
      <c r="C11" s="185">
        <f aca="true" t="shared" si="4" ref="C11:C37">D11+E11</f>
        <v>2233669</v>
      </c>
      <c r="D11" s="194">
        <f>'[3]02 VP'!D11+'[3]02 Ly Nhan'!D11+'[3]02 Duy Tien'!D11+'[3]02 Thanh Liem'!D11+'[3]02 Kim Bang'!D11+'[3]02 Binh Luc'!D11+'[3]02 Phu Ly'!D11</f>
        <v>1829627</v>
      </c>
      <c r="E11" s="195">
        <v>404042</v>
      </c>
      <c r="F11" s="195">
        <v>5264</v>
      </c>
      <c r="G11" s="195"/>
      <c r="H11" s="185">
        <f t="shared" si="2"/>
        <v>2228405</v>
      </c>
      <c r="I11" s="185">
        <f aca="true" t="shared" si="5" ref="I11:I37">J11+N11+O11+P11</f>
        <v>1255797</v>
      </c>
      <c r="J11" s="196">
        <f aca="true" t="shared" si="6" ref="J11:J23">K11+L11+M11</f>
        <v>384685</v>
      </c>
      <c r="K11" s="195">
        <v>379345</v>
      </c>
      <c r="L11" s="195">
        <v>5340</v>
      </c>
      <c r="M11" s="195"/>
      <c r="N11" s="195">
        <v>868626</v>
      </c>
      <c r="O11" s="195">
        <f>'[3]02 VP'!O11+'[3]02 Ly Nhan'!O11+'[3]02 Duy Tien'!O11+'[3]02 Thanh Liem'!O11+'[3]02 Kim Bang'!O11+'[3]02 Binh Luc'!O11+'[3]02 Phu Ly'!O11</f>
        <v>0</v>
      </c>
      <c r="P11" s="195">
        <v>2486</v>
      </c>
      <c r="Q11" s="194">
        <f>'[3]02 VP'!Q11+'[3]02 Ly Nhan'!Q11+'[3]02 Duy Tien'!Q11+'[3]02 Thanh Liem'!Q11+'[3]02 Kim Bang'!Q11+'[3]02 Binh Luc'!Q11+'[3]02 Phu Ly'!Q11+118760</f>
        <v>938592</v>
      </c>
      <c r="R11" s="195"/>
      <c r="S11" s="195">
        <v>34016</v>
      </c>
      <c r="T11" s="185">
        <f>SUM(N11:S11)</f>
        <v>1843720</v>
      </c>
      <c r="U11" s="187">
        <f t="shared" si="3"/>
        <v>0.3063273761603189</v>
      </c>
      <c r="V11" s="218">
        <f>I11+Q11+R11+S11</f>
        <v>2228405</v>
      </c>
      <c r="W11" s="217">
        <f>H11-V11</f>
        <v>0</v>
      </c>
    </row>
    <row r="12" spans="1:23" ht="15.75" customHeight="1">
      <c r="A12" s="192" t="s">
        <v>26</v>
      </c>
      <c r="B12" s="197" t="s">
        <v>98</v>
      </c>
      <c r="C12" s="185">
        <f t="shared" si="4"/>
        <v>3206842</v>
      </c>
      <c r="D12" s="194">
        <f>'[3]02 VP'!D12+'[3]02 Ly Nhan'!D12+'[3]02 Duy Tien'!D12+'[3]02 Thanh Liem'!D12+'[3]02 Kim Bang'!D12+'[3]02 Binh Luc'!D12+'[3]02 Phu Ly'!D12</f>
        <v>2178673</v>
      </c>
      <c r="E12" s="195">
        <v>1028169</v>
      </c>
      <c r="F12" s="195">
        <v>236001</v>
      </c>
      <c r="G12" s="195"/>
      <c r="H12" s="185">
        <f t="shared" si="2"/>
        <v>2970841</v>
      </c>
      <c r="I12" s="185">
        <f t="shared" si="5"/>
        <v>2451567</v>
      </c>
      <c r="J12" s="196">
        <f t="shared" si="6"/>
        <v>425181</v>
      </c>
      <c r="K12" s="195">
        <v>425181</v>
      </c>
      <c r="L12" s="195"/>
      <c r="M12" s="195"/>
      <c r="N12" s="195">
        <v>2026386</v>
      </c>
      <c r="O12" s="195">
        <f>'[3]02 VP'!O12+'[3]02 Ly Nhan'!O12+'[3]02 Duy Tien'!O12+'[3]02 Thanh Liem'!O12+'[3]02 Kim Bang'!O12+'[3]02 Binh Luc'!O12+'[3]02 Phu Ly'!O12</f>
        <v>0</v>
      </c>
      <c r="P12" s="195">
        <f>'[3]02 VP'!P12+'[3]02 Ly Nhan'!P12+'[3]02 Duy Tien'!P12+'[3]02 Thanh Liem'!P12+'[3]02 Kim Bang'!P12+'[3]02 Binh Luc'!P12+'[3]02 Phu Ly'!P12</f>
        <v>0</v>
      </c>
      <c r="Q12" s="194">
        <f>'[3]02 VP'!Q12+'[3]02 Ly Nhan'!Q12+'[3]02 Duy Tien'!Q12+'[3]02 Thanh Liem'!Q12+'[3]02 Kim Bang'!Q12+'[3]02 Binh Luc'!Q12+'[3]02 Phu Ly'!Q12+1</f>
        <v>309872</v>
      </c>
      <c r="R12" s="195"/>
      <c r="S12" s="195">
        <v>209402</v>
      </c>
      <c r="T12" s="185">
        <f aca="true" t="shared" si="7" ref="T12:T23">SUM(N12:S12)</f>
        <v>2545660</v>
      </c>
      <c r="U12" s="187">
        <f t="shared" si="3"/>
        <v>0.17343233939761793</v>
      </c>
      <c r="V12" s="218">
        <f aca="true" t="shared" si="8" ref="V12:V37">I12+Q12+R12+S12</f>
        <v>2970841</v>
      </c>
      <c r="W12" s="217">
        <f aca="true" t="shared" si="9" ref="W12:W37">H12-V12</f>
        <v>0</v>
      </c>
    </row>
    <row r="13" spans="1:23" ht="15.75" customHeight="1">
      <c r="A13" s="192" t="s">
        <v>27</v>
      </c>
      <c r="B13" s="198" t="s">
        <v>99</v>
      </c>
      <c r="C13" s="185">
        <f t="shared" si="4"/>
        <v>0</v>
      </c>
      <c r="D13" s="194">
        <f>'[3]02 VP'!D13+'[3]02 Ly Nhan'!D13+'[3]02 Duy Tien'!D13+'[3]02 Thanh Liem'!D13+'[3]02 Kim Bang'!D13+'[3]02 Binh Luc'!D13+'[3]02 Phu Ly'!D13</f>
        <v>0</v>
      </c>
      <c r="E13" s="195"/>
      <c r="F13" s="195"/>
      <c r="G13" s="195"/>
      <c r="H13" s="185">
        <f t="shared" si="2"/>
        <v>0</v>
      </c>
      <c r="I13" s="185">
        <f t="shared" si="5"/>
        <v>0</v>
      </c>
      <c r="J13" s="196">
        <f t="shared" si="6"/>
        <v>0</v>
      </c>
      <c r="K13" s="195"/>
      <c r="L13" s="195"/>
      <c r="M13" s="195"/>
      <c r="N13" s="195"/>
      <c r="O13" s="195">
        <f>'[3]02 VP'!O13+'[3]02 Ly Nhan'!O13+'[3]02 Duy Tien'!O13+'[3]02 Thanh Liem'!O13+'[3]02 Kim Bang'!O13+'[3]02 Binh Luc'!O13+'[3]02 Phu Ly'!O13</f>
        <v>0</v>
      </c>
      <c r="P13" s="195">
        <f>'[3]02 VP'!P13+'[3]02 Ly Nhan'!P13+'[3]02 Duy Tien'!P13+'[3]02 Thanh Liem'!P13+'[3]02 Kim Bang'!P13+'[3]02 Binh Luc'!P13+'[3]02 Phu Ly'!P13</f>
        <v>0</v>
      </c>
      <c r="Q13" s="194">
        <f>'[3]02 VP'!Q13+'[3]02 Ly Nhan'!Q13+'[3]02 Duy Tien'!Q13+'[3]02 Thanh Liem'!Q13+'[3]02 Kim Bang'!Q13+'[3]02 Binh Luc'!Q13+'[3]02 Phu Ly'!Q13</f>
        <v>0</v>
      </c>
      <c r="R13" s="195"/>
      <c r="S13" s="195"/>
      <c r="T13" s="185">
        <f t="shared" si="7"/>
        <v>0</v>
      </c>
      <c r="U13" s="187">
        <f t="shared" si="3"/>
      </c>
      <c r="V13" s="218">
        <f t="shared" si="8"/>
        <v>0</v>
      </c>
      <c r="W13" s="217">
        <f t="shared" si="9"/>
        <v>0</v>
      </c>
    </row>
    <row r="14" spans="1:23" ht="15.75" customHeight="1">
      <c r="A14" s="192" t="s">
        <v>28</v>
      </c>
      <c r="B14" s="193" t="s">
        <v>100</v>
      </c>
      <c r="C14" s="185">
        <f t="shared" si="4"/>
        <v>0</v>
      </c>
      <c r="D14" s="194">
        <f>'[3]02 VP'!D14+'[3]02 Ly Nhan'!D14+'[3]02 Duy Tien'!D14+'[3]02 Thanh Liem'!D14+'[3]02 Kim Bang'!D14+'[3]02 Binh Luc'!D14+'[3]02 Phu Ly'!D14</f>
        <v>0</v>
      </c>
      <c r="E14" s="195"/>
      <c r="F14" s="195"/>
      <c r="G14" s="195"/>
      <c r="H14" s="185">
        <f t="shared" si="2"/>
        <v>0</v>
      </c>
      <c r="I14" s="185">
        <f t="shared" si="5"/>
        <v>0</v>
      </c>
      <c r="J14" s="196">
        <f t="shared" si="6"/>
        <v>0</v>
      </c>
      <c r="K14" s="195"/>
      <c r="L14" s="195"/>
      <c r="M14" s="195"/>
      <c r="N14" s="195"/>
      <c r="O14" s="195">
        <f>'[3]02 VP'!O14+'[3]02 Ly Nhan'!O14+'[3]02 Duy Tien'!O14+'[3]02 Thanh Liem'!O14+'[3]02 Kim Bang'!O14+'[3]02 Binh Luc'!O14+'[3]02 Phu Ly'!O14</f>
        <v>0</v>
      </c>
      <c r="P14" s="195">
        <f>'[3]02 VP'!P14+'[3]02 Ly Nhan'!P14+'[3]02 Duy Tien'!P14+'[3]02 Thanh Liem'!P14+'[3]02 Kim Bang'!P14+'[3]02 Binh Luc'!P14+'[3]02 Phu Ly'!P14</f>
        <v>0</v>
      </c>
      <c r="Q14" s="194">
        <f>'[3]02 VP'!Q14+'[3]02 Ly Nhan'!Q14+'[3]02 Duy Tien'!Q14+'[3]02 Thanh Liem'!Q14+'[3]02 Kim Bang'!Q14+'[3]02 Binh Luc'!Q14+'[3]02 Phu Ly'!Q14</f>
        <v>0</v>
      </c>
      <c r="R14" s="195"/>
      <c r="S14" s="195"/>
      <c r="T14" s="185">
        <f t="shared" si="7"/>
        <v>0</v>
      </c>
      <c r="U14" s="187">
        <f t="shared" si="3"/>
      </c>
      <c r="V14" s="218">
        <f t="shared" si="8"/>
        <v>0</v>
      </c>
      <c r="W14" s="217">
        <f t="shared" si="9"/>
        <v>0</v>
      </c>
    </row>
    <row r="15" spans="1:23" ht="24" customHeight="1">
      <c r="A15" s="192" t="s">
        <v>29</v>
      </c>
      <c r="B15" s="199" t="s">
        <v>101</v>
      </c>
      <c r="C15" s="185">
        <f t="shared" si="4"/>
        <v>0</v>
      </c>
      <c r="D15" s="194"/>
      <c r="E15" s="195"/>
      <c r="F15" s="195"/>
      <c r="G15" s="195"/>
      <c r="H15" s="185">
        <f t="shared" si="2"/>
        <v>0</v>
      </c>
      <c r="I15" s="185">
        <f t="shared" si="5"/>
        <v>0</v>
      </c>
      <c r="J15" s="196">
        <f t="shared" si="6"/>
        <v>0</v>
      </c>
      <c r="K15" s="195"/>
      <c r="L15" s="195"/>
      <c r="M15" s="195"/>
      <c r="N15" s="195"/>
      <c r="O15" s="195">
        <f>'[3]02 VP'!O15+'[3]02 Ly Nhan'!O15+'[3]02 Duy Tien'!O15+'[3]02 Thanh Liem'!O15+'[3]02 Kim Bang'!O15+'[3]02 Binh Luc'!O15+'[3]02 Phu Ly'!O15</f>
        <v>0</v>
      </c>
      <c r="P15" s="195">
        <f>'[3]02 VP'!P15+'[3]02 Ly Nhan'!P15+'[3]02 Duy Tien'!P15+'[3]02 Thanh Liem'!P15+'[3]02 Kim Bang'!P15+'[3]02 Binh Luc'!P15+'[3]02 Phu Ly'!P15</f>
        <v>0</v>
      </c>
      <c r="Q15" s="194"/>
      <c r="R15" s="195"/>
      <c r="S15" s="195"/>
      <c r="T15" s="185">
        <f t="shared" si="7"/>
        <v>0</v>
      </c>
      <c r="U15" s="187">
        <f t="shared" si="3"/>
      </c>
      <c r="V15" s="218">
        <f t="shared" si="8"/>
        <v>0</v>
      </c>
      <c r="W15" s="217">
        <f t="shared" si="9"/>
        <v>0</v>
      </c>
    </row>
    <row r="16" spans="1:23" ht="15.75" customHeight="1">
      <c r="A16" s="192" t="s">
        <v>30</v>
      </c>
      <c r="B16" s="193" t="s">
        <v>102</v>
      </c>
      <c r="C16" s="185">
        <f t="shared" si="4"/>
        <v>22753428</v>
      </c>
      <c r="D16" s="194">
        <f>'[3]02 VP'!D16+'[3]02 Ly Nhan'!D16+'[3]02 Duy Tien'!D16+'[3]02 Thanh Liem'!D16+'[3]02 Kim Bang'!D16+'[3]02 Binh Luc'!D16+'[3]02 Phu Ly'!D16+888435</f>
        <v>15004904</v>
      </c>
      <c r="E16" s="195">
        <v>7748524</v>
      </c>
      <c r="F16" s="195">
        <v>17849</v>
      </c>
      <c r="G16" s="195"/>
      <c r="H16" s="185">
        <f t="shared" si="2"/>
        <v>22735579</v>
      </c>
      <c r="I16" s="185">
        <f t="shared" si="5"/>
        <v>12708045</v>
      </c>
      <c r="J16" s="196">
        <f t="shared" si="6"/>
        <v>1814319</v>
      </c>
      <c r="K16" s="195">
        <f>1638074+450</f>
        <v>1638524</v>
      </c>
      <c r="L16" s="195">
        <v>83881</v>
      </c>
      <c r="M16" s="195">
        <v>91914</v>
      </c>
      <c r="N16" s="195">
        <f>10282993+610733</f>
        <v>10893726</v>
      </c>
      <c r="O16" s="195">
        <f>'[3]02 VP'!O16+'[3]02 Ly Nhan'!O16+'[3]02 Duy Tien'!O16+'[3]02 Thanh Liem'!O16+'[3]02 Kim Bang'!O16+'[3]02 Binh Luc'!O16+'[3]02 Phu Ly'!O16</f>
        <v>0</v>
      </c>
      <c r="P16" s="195"/>
      <c r="Q16" s="194">
        <f>'[3]02 VP'!Q16+'[3]02 Ly Nhan'!Q16+'[3]02 Duy Tien'!Q16+'[3]02 Thanh Liem'!Q16+'[3]02 Kim Bang'!Q16+'[3]02 Binh Luc'!Q16+'[3]02 Phu Ly'!Q16+358311-58877+888435</f>
        <v>10027534</v>
      </c>
      <c r="R16" s="195"/>
      <c r="S16" s="195"/>
      <c r="T16" s="185">
        <f t="shared" si="7"/>
        <v>20921260</v>
      </c>
      <c r="U16" s="187">
        <f t="shared" si="3"/>
        <v>0.1427693244712306</v>
      </c>
      <c r="V16" s="218">
        <f t="shared" si="8"/>
        <v>22735579</v>
      </c>
      <c r="W16" s="217">
        <f t="shared" si="9"/>
        <v>0</v>
      </c>
    </row>
    <row r="17" spans="1:23" ht="15.75" customHeight="1">
      <c r="A17" s="192" t="s">
        <v>31</v>
      </c>
      <c r="B17" s="193" t="s">
        <v>103</v>
      </c>
      <c r="C17" s="185">
        <f t="shared" si="4"/>
        <v>24128</v>
      </c>
      <c r="D17" s="194">
        <f>'[3]02 VP'!D17+'[3]02 Ly Nhan'!D17+'[3]02 Duy Tien'!D17+'[3]02 Thanh Liem'!D17+'[3]02 Kim Bang'!D17+'[3]02 Binh Luc'!D17+'[3]02 Phu Ly'!D17</f>
        <v>5065</v>
      </c>
      <c r="E17" s="195">
        <v>19063</v>
      </c>
      <c r="F17" s="195"/>
      <c r="G17" s="195"/>
      <c r="H17" s="185">
        <f t="shared" si="2"/>
        <v>24128</v>
      </c>
      <c r="I17" s="185">
        <f t="shared" si="5"/>
        <v>21413</v>
      </c>
      <c r="J17" s="196">
        <f t="shared" si="6"/>
        <v>17863</v>
      </c>
      <c r="K17" s="195">
        <v>17863</v>
      </c>
      <c r="L17" s="195"/>
      <c r="M17" s="195"/>
      <c r="N17" s="195">
        <v>3550</v>
      </c>
      <c r="O17" s="195">
        <f>'[3]02 VP'!O17+'[3]02 Ly Nhan'!O17+'[3]02 Duy Tien'!O17+'[3]02 Thanh Liem'!O17+'[3]02 Kim Bang'!O17+'[3]02 Binh Luc'!O17+'[3]02 Phu Ly'!O17</f>
        <v>0</v>
      </c>
      <c r="P17" s="195">
        <f>'[3]02 VP'!P17+'[3]02 Ly Nhan'!P17+'[3]02 Duy Tien'!P17+'[3]02 Thanh Liem'!P17+'[3]02 Kim Bang'!P17+'[3]02 Binh Luc'!P17+'[3]02 Phu Ly'!P17</f>
        <v>0</v>
      </c>
      <c r="Q17" s="194">
        <f>'[3]02 VP'!Q17+'[3]02 Ly Nhan'!Q17+'[3]02 Duy Tien'!Q17+'[3]02 Thanh Liem'!Q17+'[3]02 Kim Bang'!Q17+'[3]02 Binh Luc'!Q17+'[3]02 Phu Ly'!Q17</f>
        <v>2715</v>
      </c>
      <c r="R17" s="195"/>
      <c r="S17" s="195"/>
      <c r="T17" s="185">
        <f t="shared" si="7"/>
        <v>6265</v>
      </c>
      <c r="U17" s="187">
        <f t="shared" si="3"/>
        <v>0.8342128613459113</v>
      </c>
      <c r="V17" s="218">
        <f t="shared" si="8"/>
        <v>24128</v>
      </c>
      <c r="W17" s="217">
        <f t="shared" si="9"/>
        <v>0</v>
      </c>
    </row>
    <row r="18" spans="1:23" ht="15.75" customHeight="1">
      <c r="A18" s="192" t="s">
        <v>32</v>
      </c>
      <c r="B18" s="193" t="s">
        <v>104</v>
      </c>
      <c r="C18" s="185">
        <f t="shared" si="4"/>
        <v>702098</v>
      </c>
      <c r="D18" s="194">
        <f>'[3]02 VP'!D18+'[3]02 Ly Nhan'!D18+'[3]02 Duy Tien'!D18+'[3]02 Thanh Liem'!D18+'[3]02 Kim Bang'!D18+'[3]02 Binh Luc'!D18+'[3]02 Phu Ly'!D18</f>
        <v>497454</v>
      </c>
      <c r="E18" s="195">
        <v>204644</v>
      </c>
      <c r="F18" s="195"/>
      <c r="G18" s="195"/>
      <c r="H18" s="185">
        <f t="shared" si="2"/>
        <v>702098</v>
      </c>
      <c r="I18" s="185">
        <f t="shared" si="5"/>
        <v>540908</v>
      </c>
      <c r="J18" s="196">
        <f t="shared" si="6"/>
        <v>169972</v>
      </c>
      <c r="K18" s="195">
        <v>169972</v>
      </c>
      <c r="L18" s="195"/>
      <c r="M18" s="195"/>
      <c r="N18" s="195">
        <v>370936</v>
      </c>
      <c r="O18" s="195">
        <f>'[3]02 VP'!O18+'[3]02 Ly Nhan'!O18+'[3]02 Duy Tien'!O18+'[3]02 Thanh Liem'!O18+'[3]02 Kim Bang'!O18+'[3]02 Binh Luc'!O18+'[3]02 Phu Ly'!O18</f>
        <v>0</v>
      </c>
      <c r="P18" s="195">
        <f>'[3]02 VP'!P18+'[3]02 Ly Nhan'!P18+'[3]02 Duy Tien'!P18+'[3]02 Thanh Liem'!P18+'[3]02 Kim Bang'!P18+'[3]02 Binh Luc'!P18+'[3]02 Phu Ly'!P18</f>
        <v>0</v>
      </c>
      <c r="Q18" s="194">
        <f>'[3]02 VP'!Q18+'[3]02 Ly Nhan'!Q18+'[3]02 Duy Tien'!Q18+'[3]02 Thanh Liem'!Q18+'[3]02 Kim Bang'!Q18+'[3]02 Binh Luc'!Q18+'[3]02 Phu Ly'!Q18+345</f>
        <v>161190</v>
      </c>
      <c r="R18" s="195"/>
      <c r="S18" s="195"/>
      <c r="T18" s="185">
        <f t="shared" si="7"/>
        <v>532126</v>
      </c>
      <c r="U18" s="187">
        <f t="shared" si="3"/>
        <v>0.3142345833302521</v>
      </c>
      <c r="V18" s="218">
        <f t="shared" si="8"/>
        <v>702098</v>
      </c>
      <c r="W18" s="217">
        <f t="shared" si="9"/>
        <v>0</v>
      </c>
    </row>
    <row r="19" spans="1:23" ht="15.75" customHeight="1">
      <c r="A19" s="192" t="s">
        <v>33</v>
      </c>
      <c r="B19" s="193" t="s">
        <v>105</v>
      </c>
      <c r="C19" s="185">
        <f t="shared" si="4"/>
        <v>17710</v>
      </c>
      <c r="D19" s="194">
        <f>'[3]02 VP'!D19+'[3]02 Ly Nhan'!D19+'[3]02 Duy Tien'!D19+'[3]02 Thanh Liem'!D19+'[3]02 Kim Bang'!D19+'[3]02 Binh Luc'!D19+'[3]02 Phu Ly'!D19</f>
        <v>17710</v>
      </c>
      <c r="E19" s="195"/>
      <c r="F19" s="195"/>
      <c r="G19" s="195"/>
      <c r="H19" s="185">
        <f t="shared" si="2"/>
        <v>17710</v>
      </c>
      <c r="I19" s="185">
        <f t="shared" si="5"/>
        <v>17710</v>
      </c>
      <c r="J19" s="196">
        <f t="shared" si="6"/>
        <v>0</v>
      </c>
      <c r="K19" s="195"/>
      <c r="L19" s="195"/>
      <c r="M19" s="195"/>
      <c r="N19" s="195">
        <v>17710</v>
      </c>
      <c r="O19" s="195">
        <f>'[3]02 VP'!O19+'[3]02 Ly Nhan'!O19+'[3]02 Duy Tien'!O19+'[3]02 Thanh Liem'!O19+'[3]02 Kim Bang'!O19+'[3]02 Binh Luc'!O19+'[3]02 Phu Ly'!O19</f>
        <v>0</v>
      </c>
      <c r="P19" s="195">
        <f>'[3]02 VP'!P19+'[3]02 Ly Nhan'!P19+'[3]02 Duy Tien'!P19+'[3]02 Thanh Liem'!P19+'[3]02 Kim Bang'!P19+'[3]02 Binh Luc'!P19+'[3]02 Phu Ly'!P19</f>
        <v>0</v>
      </c>
      <c r="Q19" s="194">
        <f>'[3]02 VP'!Q19+'[3]02 Ly Nhan'!Q19+'[3]02 Duy Tien'!Q19+'[3]02 Thanh Liem'!Q19+'[3]02 Kim Bang'!Q19+'[3]02 Binh Luc'!Q19+'[3]02 Phu Ly'!Q19</f>
        <v>0</v>
      </c>
      <c r="R19" s="195"/>
      <c r="S19" s="195"/>
      <c r="T19" s="185">
        <f t="shared" si="7"/>
        <v>17710</v>
      </c>
      <c r="U19" s="187">
        <f t="shared" si="3"/>
        <v>0</v>
      </c>
      <c r="V19" s="218">
        <f t="shared" si="8"/>
        <v>17710</v>
      </c>
      <c r="W19" s="217">
        <f t="shared" si="9"/>
        <v>0</v>
      </c>
    </row>
    <row r="20" spans="1:23" ht="15.75" customHeight="1">
      <c r="A20" s="192" t="s">
        <v>34</v>
      </c>
      <c r="B20" s="193" t="s">
        <v>106</v>
      </c>
      <c r="C20" s="185">
        <f t="shared" si="4"/>
        <v>0</v>
      </c>
      <c r="D20" s="194">
        <f>'[3]02 VP'!D20+'[3]02 Ly Nhan'!D20+'[3]02 Duy Tien'!D20+'[3]02 Thanh Liem'!D20+'[3]02 Kim Bang'!D20+'[3]02 Binh Luc'!D20+'[3]02 Phu Ly'!D20</f>
        <v>0</v>
      </c>
      <c r="E20" s="195"/>
      <c r="F20" s="195"/>
      <c r="G20" s="195"/>
      <c r="H20" s="185">
        <f t="shared" si="2"/>
        <v>0</v>
      </c>
      <c r="I20" s="185">
        <f t="shared" si="5"/>
        <v>0</v>
      </c>
      <c r="J20" s="196">
        <f t="shared" si="6"/>
        <v>0</v>
      </c>
      <c r="K20" s="195"/>
      <c r="L20" s="195"/>
      <c r="M20" s="195"/>
      <c r="N20" s="195"/>
      <c r="O20" s="195">
        <f>'[3]02 VP'!O20+'[3]02 Ly Nhan'!O20+'[3]02 Duy Tien'!O20+'[3]02 Thanh Liem'!O20+'[3]02 Kim Bang'!O20+'[3]02 Binh Luc'!O20+'[3]02 Phu Ly'!O20</f>
        <v>0</v>
      </c>
      <c r="P20" s="195">
        <f>'[3]02 VP'!P20+'[3]02 Ly Nhan'!P20+'[3]02 Duy Tien'!P20+'[3]02 Thanh Liem'!P20+'[3]02 Kim Bang'!P20+'[3]02 Binh Luc'!P20+'[3]02 Phu Ly'!P20</f>
        <v>0</v>
      </c>
      <c r="Q20" s="194">
        <f>'[3]02 VP'!Q20+'[3]02 Ly Nhan'!Q20+'[3]02 Duy Tien'!Q20+'[3]02 Thanh Liem'!Q20+'[3]02 Kim Bang'!Q20+'[3]02 Binh Luc'!Q20+'[3]02 Phu Ly'!Q20</f>
        <v>0</v>
      </c>
      <c r="R20" s="195"/>
      <c r="S20" s="195"/>
      <c r="T20" s="185">
        <f t="shared" si="7"/>
        <v>0</v>
      </c>
      <c r="U20" s="187">
        <f t="shared" si="3"/>
      </c>
      <c r="V20" s="218">
        <f t="shared" si="8"/>
        <v>0</v>
      </c>
      <c r="W20" s="217">
        <f t="shared" si="9"/>
        <v>0</v>
      </c>
    </row>
    <row r="21" spans="1:23" ht="15.75" customHeight="1">
      <c r="A21" s="192" t="s">
        <v>35</v>
      </c>
      <c r="B21" s="193" t="s">
        <v>107</v>
      </c>
      <c r="C21" s="185">
        <f t="shared" si="4"/>
        <v>0</v>
      </c>
      <c r="D21" s="194">
        <f>'[3]02 VP'!D21+'[3]02 Ly Nhan'!D21+'[3]02 Duy Tien'!D21+'[3]02 Thanh Liem'!D21+'[3]02 Kim Bang'!D21+'[3]02 Binh Luc'!D21+'[3]02 Phu Ly'!D21</f>
        <v>0</v>
      </c>
      <c r="E21" s="195"/>
      <c r="F21" s="195"/>
      <c r="G21" s="195"/>
      <c r="H21" s="185">
        <f t="shared" si="2"/>
        <v>0</v>
      </c>
      <c r="I21" s="185">
        <f t="shared" si="5"/>
        <v>0</v>
      </c>
      <c r="J21" s="196">
        <f t="shared" si="6"/>
        <v>0</v>
      </c>
      <c r="K21" s="195"/>
      <c r="L21" s="195"/>
      <c r="M21" s="195"/>
      <c r="N21" s="195"/>
      <c r="O21" s="195">
        <f>'[3]02 VP'!O21+'[3]02 Ly Nhan'!O21+'[3]02 Duy Tien'!O21+'[3]02 Thanh Liem'!O21+'[3]02 Kim Bang'!O21+'[3]02 Binh Luc'!O21+'[3]02 Phu Ly'!O21</f>
        <v>0</v>
      </c>
      <c r="P21" s="195">
        <f>'[3]02 VP'!P21+'[3]02 Ly Nhan'!P21+'[3]02 Duy Tien'!P21+'[3]02 Thanh Liem'!P21+'[3]02 Kim Bang'!P21+'[3]02 Binh Luc'!P21+'[3]02 Phu Ly'!P21</f>
        <v>0</v>
      </c>
      <c r="Q21" s="194">
        <f>'[3]02 VP'!Q21+'[3]02 Ly Nhan'!Q21+'[3]02 Duy Tien'!Q21+'[3]02 Thanh Liem'!Q21+'[3]02 Kim Bang'!Q21+'[3]02 Binh Luc'!Q21+'[3]02 Phu Ly'!Q21</f>
        <v>0</v>
      </c>
      <c r="R21" s="195"/>
      <c r="S21" s="195"/>
      <c r="T21" s="185">
        <f t="shared" si="7"/>
        <v>0</v>
      </c>
      <c r="U21" s="187">
        <f t="shared" si="3"/>
      </c>
      <c r="V21" s="218">
        <f t="shared" si="8"/>
        <v>0</v>
      </c>
      <c r="W21" s="217">
        <f t="shared" si="9"/>
        <v>0</v>
      </c>
    </row>
    <row r="22" spans="1:23" ht="15.75" customHeight="1">
      <c r="A22" s="192" t="s">
        <v>36</v>
      </c>
      <c r="B22" s="193" t="s">
        <v>108</v>
      </c>
      <c r="C22" s="185">
        <f t="shared" si="4"/>
        <v>0</v>
      </c>
      <c r="D22" s="194">
        <f>'[3]02 VP'!D22+'[3]02 Ly Nhan'!D22+'[3]02 Duy Tien'!D22+'[3]02 Thanh Liem'!D22+'[3]02 Kim Bang'!D22+'[3]02 Binh Luc'!D22+'[3]02 Phu Ly'!D22</f>
        <v>0</v>
      </c>
      <c r="E22" s="195"/>
      <c r="F22" s="195"/>
      <c r="G22" s="195"/>
      <c r="H22" s="185">
        <f t="shared" si="2"/>
        <v>0</v>
      </c>
      <c r="I22" s="185">
        <f t="shared" si="5"/>
        <v>0</v>
      </c>
      <c r="J22" s="196">
        <f t="shared" si="6"/>
        <v>0</v>
      </c>
      <c r="K22" s="195"/>
      <c r="L22" s="195"/>
      <c r="M22" s="195"/>
      <c r="N22" s="195"/>
      <c r="O22" s="195">
        <f>'[3]02 VP'!O22+'[3]02 Ly Nhan'!O22+'[3]02 Duy Tien'!O22+'[3]02 Thanh Liem'!O22+'[3]02 Kim Bang'!O22+'[3]02 Binh Luc'!O22+'[3]02 Phu Ly'!O22</f>
        <v>0</v>
      </c>
      <c r="P22" s="195">
        <f>'[3]02 VP'!P22+'[3]02 Ly Nhan'!P22+'[3]02 Duy Tien'!P22+'[3]02 Thanh Liem'!P22+'[3]02 Kim Bang'!P22+'[3]02 Binh Luc'!P22+'[3]02 Phu Ly'!P22</f>
        <v>0</v>
      </c>
      <c r="Q22" s="194">
        <f>'[3]02 VP'!Q22+'[3]02 Ly Nhan'!Q22+'[3]02 Duy Tien'!Q22+'[3]02 Thanh Liem'!Q22+'[3]02 Kim Bang'!Q22+'[3]02 Binh Luc'!Q22+'[3]02 Phu Ly'!Q22</f>
        <v>0</v>
      </c>
      <c r="R22" s="195"/>
      <c r="S22" s="195"/>
      <c r="T22" s="185">
        <f t="shared" si="7"/>
        <v>0</v>
      </c>
      <c r="U22" s="187">
        <f t="shared" si="3"/>
      </c>
      <c r="V22" s="218">
        <f t="shared" si="8"/>
        <v>0</v>
      </c>
      <c r="W22" s="217">
        <f t="shared" si="9"/>
        <v>0</v>
      </c>
    </row>
    <row r="23" spans="1:23" ht="15.75" customHeight="1">
      <c r="A23" s="192" t="s">
        <v>37</v>
      </c>
      <c r="B23" s="193" t="s">
        <v>109</v>
      </c>
      <c r="C23" s="185">
        <f t="shared" si="4"/>
        <v>22533</v>
      </c>
      <c r="D23" s="194">
        <f>'[3]02 VP'!D23+'[3]02 Ly Nhan'!D23+'[3]02 Duy Tien'!D23+'[3]02 Thanh Liem'!D23+'[3]02 Kim Bang'!D23+'[3]02 Binh Luc'!D23+'[3]02 Phu Ly'!D23</f>
        <v>22533</v>
      </c>
      <c r="E23" s="195"/>
      <c r="F23" s="195"/>
      <c r="G23" s="195"/>
      <c r="H23" s="185">
        <f t="shared" si="2"/>
        <v>22533</v>
      </c>
      <c r="I23" s="185">
        <f t="shared" si="5"/>
        <v>3595</v>
      </c>
      <c r="J23" s="196">
        <f t="shared" si="6"/>
        <v>0</v>
      </c>
      <c r="K23" s="195"/>
      <c r="L23" s="195"/>
      <c r="M23" s="195"/>
      <c r="N23" s="195">
        <v>3595</v>
      </c>
      <c r="O23" s="195">
        <f>'[3]02 VP'!O23+'[3]02 Ly Nhan'!O23+'[3]02 Duy Tien'!O23+'[3]02 Thanh Liem'!O23+'[3]02 Kim Bang'!O23+'[3]02 Binh Luc'!O23+'[3]02 Phu Ly'!O23</f>
        <v>0</v>
      </c>
      <c r="P23" s="195">
        <f>'[3]02 VP'!P23+'[3]02 Ly Nhan'!P23+'[3]02 Duy Tien'!P23+'[3]02 Thanh Liem'!P23+'[3]02 Kim Bang'!P23+'[3]02 Binh Luc'!P23+'[3]02 Phu Ly'!P23</f>
        <v>0</v>
      </c>
      <c r="Q23" s="194">
        <f>'[3]02 VP'!Q23+'[3]02 Ly Nhan'!Q23+'[3]02 Duy Tien'!Q23+'[3]02 Thanh Liem'!Q23+'[3]02 Kim Bang'!Q23+'[3]02 Binh Luc'!Q23+'[3]02 Phu Ly'!Q23+6548</f>
        <v>18938</v>
      </c>
      <c r="R23" s="195"/>
      <c r="S23" s="195"/>
      <c r="T23" s="185">
        <f t="shared" si="7"/>
        <v>22533</v>
      </c>
      <c r="U23" s="187">
        <f t="shared" si="3"/>
        <v>0</v>
      </c>
      <c r="V23" s="218">
        <f t="shared" si="8"/>
        <v>22533</v>
      </c>
      <c r="W23" s="217">
        <f t="shared" si="9"/>
        <v>0</v>
      </c>
    </row>
    <row r="24" spans="1:23" ht="15.75" customHeight="1">
      <c r="A24" s="188" t="s">
        <v>50</v>
      </c>
      <c r="B24" s="189" t="s">
        <v>110</v>
      </c>
      <c r="C24" s="185">
        <f t="shared" si="4"/>
        <v>972503255</v>
      </c>
      <c r="D24" s="191">
        <f aca="true" t="shared" si="10" ref="D24:T24">SUM(D25:D37)</f>
        <v>777709691</v>
      </c>
      <c r="E24" s="190">
        <f>SUM(E25:E37)</f>
        <v>194793564</v>
      </c>
      <c r="F24" s="190">
        <f t="shared" si="10"/>
        <v>127350</v>
      </c>
      <c r="G24" s="190">
        <f t="shared" si="10"/>
        <v>0</v>
      </c>
      <c r="H24" s="185">
        <f t="shared" si="2"/>
        <v>972375905</v>
      </c>
      <c r="I24" s="190">
        <f t="shared" si="10"/>
        <v>869780922</v>
      </c>
      <c r="J24" s="200">
        <f t="shared" si="10"/>
        <v>17015753</v>
      </c>
      <c r="K24" s="200">
        <f t="shared" si="10"/>
        <v>9296713</v>
      </c>
      <c r="L24" s="200">
        <f t="shared" si="10"/>
        <v>7719040</v>
      </c>
      <c r="M24" s="200">
        <f t="shared" si="10"/>
        <v>0</v>
      </c>
      <c r="N24" s="200">
        <f t="shared" si="10"/>
        <v>852560859</v>
      </c>
      <c r="O24" s="200">
        <f t="shared" si="10"/>
        <v>0</v>
      </c>
      <c r="P24" s="200">
        <f t="shared" si="10"/>
        <v>204310</v>
      </c>
      <c r="Q24" s="191">
        <f t="shared" si="10"/>
        <v>101826343</v>
      </c>
      <c r="R24" s="200">
        <f t="shared" si="10"/>
        <v>0</v>
      </c>
      <c r="S24" s="200">
        <f t="shared" si="10"/>
        <v>768640</v>
      </c>
      <c r="T24" s="190">
        <f t="shared" si="10"/>
        <v>955360152</v>
      </c>
      <c r="U24" s="187">
        <f t="shared" si="3"/>
        <v>0.019563263081091124</v>
      </c>
      <c r="V24" s="218">
        <f t="shared" si="8"/>
        <v>972375905</v>
      </c>
      <c r="W24" s="217">
        <f t="shared" si="9"/>
        <v>0</v>
      </c>
    </row>
    <row r="25" spans="1:23" ht="15.75" customHeight="1">
      <c r="A25" s="201" t="s">
        <v>25</v>
      </c>
      <c r="B25" s="202" t="s">
        <v>97</v>
      </c>
      <c r="C25" s="185">
        <f t="shared" si="4"/>
        <v>55232627</v>
      </c>
      <c r="D25" s="194">
        <f>'[3]02 VP'!D25+'[3]02 Ly Nhan'!D25+'[3]02 Duy Tien'!D25+'[3]02 Thanh Liem'!D25+'[3]02 Kim Bang'!D25+'[3]02 Binh Luc'!D25+'[3]02 Phu Ly'!D25</f>
        <v>38193028</v>
      </c>
      <c r="E25" s="195">
        <v>17039599</v>
      </c>
      <c r="F25" s="195"/>
      <c r="G25" s="195"/>
      <c r="H25" s="185">
        <f t="shared" si="2"/>
        <v>55232627</v>
      </c>
      <c r="I25" s="185">
        <f t="shared" si="5"/>
        <v>35281051</v>
      </c>
      <c r="J25" s="196">
        <f>K25+L25+M25</f>
        <v>13809661</v>
      </c>
      <c r="K25" s="195">
        <v>6090621</v>
      </c>
      <c r="L25" s="195">
        <v>7719040</v>
      </c>
      <c r="M25" s="195"/>
      <c r="N25" s="195">
        <v>21267080</v>
      </c>
      <c r="O25" s="195"/>
      <c r="P25" s="195">
        <v>204310</v>
      </c>
      <c r="Q25" s="194">
        <f>'[3]02 VP'!Q25+'[3]02 Ly Nhan'!Q25+'[3]02 Duy Tien'!Q25+'[3]02 Thanh Liem'!Q25+'[3]02 Kim Bang'!Q25+'[3]02 Binh Luc'!Q25+'[3]02 Phu Ly'!Q25-881674</f>
        <v>19219936</v>
      </c>
      <c r="R25" s="195"/>
      <c r="S25" s="195">
        <v>731640</v>
      </c>
      <c r="T25" s="185">
        <f>SUM(N25:S25)</f>
        <v>41422966</v>
      </c>
      <c r="U25" s="187">
        <f t="shared" si="3"/>
        <v>0.39141863999459653</v>
      </c>
      <c r="V25" s="218">
        <f t="shared" si="8"/>
        <v>55232627</v>
      </c>
      <c r="W25" s="217">
        <f t="shared" si="9"/>
        <v>0</v>
      </c>
    </row>
    <row r="26" spans="1:23" ht="15.75" customHeight="1">
      <c r="A26" s="201" t="s">
        <v>26</v>
      </c>
      <c r="B26" s="203" t="s">
        <v>98</v>
      </c>
      <c r="C26" s="185">
        <f t="shared" si="4"/>
        <v>900606448</v>
      </c>
      <c r="D26" s="194">
        <f>'[3]02 VP'!D26+'[3]02 Ly Nhan'!D26+'[3]02 Duy Tien'!D26+'[3]02 Thanh Liem'!D26+'[3]02 Kim Bang'!D26+'[3]02 Binh Luc'!D26+'[3]02 Phu Ly'!D26</f>
        <v>727159244</v>
      </c>
      <c r="E26" s="195">
        <v>173447204</v>
      </c>
      <c r="F26" s="195"/>
      <c r="G26" s="195"/>
      <c r="H26" s="185">
        <f t="shared" si="2"/>
        <v>900606448</v>
      </c>
      <c r="I26" s="185">
        <f t="shared" si="5"/>
        <v>828186093</v>
      </c>
      <c r="J26" s="196">
        <f aca="true" t="shared" si="11" ref="J26:J37">K26+L26+M26</f>
        <v>1722200</v>
      </c>
      <c r="K26" s="195">
        <v>1722200</v>
      </c>
      <c r="L26" s="195"/>
      <c r="M26" s="195"/>
      <c r="N26" s="195">
        <v>826463893</v>
      </c>
      <c r="O26" s="195"/>
      <c r="P26" s="195"/>
      <c r="Q26" s="194">
        <f>'[3]02 VP'!Q26+'[3]02 Ly Nhan'!Q26+'[3]02 Duy Tien'!Q26+'[3]02 Thanh Liem'!Q26+'[3]02 Kim Bang'!Q26+'[3]02 Binh Luc'!Q26+'[3]02 Phu Ly'!Q26-488008</f>
        <v>72383355</v>
      </c>
      <c r="R26" s="195"/>
      <c r="S26" s="195">
        <v>37000</v>
      </c>
      <c r="T26" s="185">
        <f aca="true" t="shared" si="12" ref="T26:T37">SUM(N26:S26)</f>
        <v>898884248</v>
      </c>
      <c r="U26" s="187">
        <f t="shared" si="3"/>
        <v>0.002079484326718826</v>
      </c>
      <c r="V26" s="218">
        <f t="shared" si="8"/>
        <v>900606448</v>
      </c>
      <c r="W26" s="217">
        <f t="shared" si="9"/>
        <v>0</v>
      </c>
    </row>
    <row r="27" spans="1:23" ht="15.75" customHeight="1">
      <c r="A27" s="201" t="s">
        <v>27</v>
      </c>
      <c r="B27" s="204" t="s">
        <v>99</v>
      </c>
      <c r="C27" s="185">
        <f t="shared" si="4"/>
        <v>0</v>
      </c>
      <c r="D27" s="194"/>
      <c r="E27" s="195"/>
      <c r="F27" s="195"/>
      <c r="G27" s="195"/>
      <c r="H27" s="185">
        <f t="shared" si="2"/>
        <v>0</v>
      </c>
      <c r="I27" s="185">
        <f t="shared" si="5"/>
        <v>0</v>
      </c>
      <c r="J27" s="196">
        <f t="shared" si="11"/>
        <v>0</v>
      </c>
      <c r="K27" s="195"/>
      <c r="L27" s="195"/>
      <c r="M27" s="195"/>
      <c r="N27" s="195"/>
      <c r="O27" s="195"/>
      <c r="P27" s="195"/>
      <c r="Q27" s="194"/>
      <c r="R27" s="195"/>
      <c r="S27" s="195"/>
      <c r="T27" s="185">
        <f t="shared" si="12"/>
        <v>0</v>
      </c>
      <c r="U27" s="187">
        <f t="shared" si="3"/>
      </c>
      <c r="V27" s="218">
        <f t="shared" si="8"/>
        <v>0</v>
      </c>
      <c r="W27" s="217">
        <f t="shared" si="9"/>
        <v>0</v>
      </c>
    </row>
    <row r="28" spans="1:23" ht="15.75" customHeight="1">
      <c r="A28" s="201" t="s">
        <v>28</v>
      </c>
      <c r="B28" s="202" t="s">
        <v>100</v>
      </c>
      <c r="C28" s="185">
        <f t="shared" si="4"/>
        <v>0</v>
      </c>
      <c r="D28" s="194">
        <f>'[3]02 VP'!D28+'[3]02 Ly Nhan'!D28+'[3]02 Duy Tien'!D28+'[3]02 Thanh Liem'!D28+'[3]02 Kim Bang'!D28+'[3]02 Binh Luc'!D28+'[3]02 Phu Ly'!D28</f>
        <v>0</v>
      </c>
      <c r="E28" s="195"/>
      <c r="F28" s="195"/>
      <c r="G28" s="195"/>
      <c r="H28" s="185">
        <f t="shared" si="2"/>
        <v>0</v>
      </c>
      <c r="I28" s="185">
        <f t="shared" si="5"/>
        <v>0</v>
      </c>
      <c r="J28" s="196">
        <f t="shared" si="11"/>
        <v>0</v>
      </c>
      <c r="K28" s="195"/>
      <c r="L28" s="195"/>
      <c r="M28" s="195"/>
      <c r="N28" s="195"/>
      <c r="O28" s="195"/>
      <c r="P28" s="195"/>
      <c r="Q28" s="194">
        <f>'[3]02 VP'!Q28+'[3]02 Ly Nhan'!Q28+'[3]02 Duy Tien'!Q28+'[3]02 Thanh Liem'!Q28+'[3]02 Kim Bang'!Q28+'[3]02 Binh Luc'!Q28+'[3]02 Phu Ly'!Q28</f>
        <v>0</v>
      </c>
      <c r="R28" s="195"/>
      <c r="S28" s="195"/>
      <c r="T28" s="185">
        <f t="shared" si="12"/>
        <v>0</v>
      </c>
      <c r="U28" s="187">
        <f t="shared" si="3"/>
      </c>
      <c r="V28" s="218">
        <f t="shared" si="8"/>
        <v>0</v>
      </c>
      <c r="W28" s="217">
        <f t="shared" si="9"/>
        <v>0</v>
      </c>
    </row>
    <row r="29" spans="1:23" ht="15.75" customHeight="1">
      <c r="A29" s="201" t="s">
        <v>29</v>
      </c>
      <c r="B29" s="205" t="s">
        <v>101</v>
      </c>
      <c r="C29" s="185">
        <f t="shared" si="4"/>
        <v>0</v>
      </c>
      <c r="D29" s="194">
        <f>'[3]02 VP'!D29+'[3]02 Ly Nhan'!D29+'[3]02 Duy Tien'!D29+'[3]02 Thanh Liem'!D29+'[3]02 Kim Bang'!D29+'[3]02 Binh Luc'!D29+'[3]02 Phu Ly'!D29</f>
        <v>0</v>
      </c>
      <c r="E29" s="195"/>
      <c r="F29" s="195"/>
      <c r="G29" s="195"/>
      <c r="H29" s="185">
        <f t="shared" si="2"/>
        <v>0</v>
      </c>
      <c r="I29" s="185">
        <f t="shared" si="5"/>
        <v>0</v>
      </c>
      <c r="J29" s="196">
        <f t="shared" si="11"/>
        <v>0</v>
      </c>
      <c r="K29" s="195"/>
      <c r="L29" s="195"/>
      <c r="M29" s="195"/>
      <c r="N29" s="195"/>
      <c r="O29" s="195"/>
      <c r="P29" s="195"/>
      <c r="Q29" s="194">
        <f>'[3]02 VP'!Q29+'[3]02 Ly Nhan'!Q29+'[3]02 Duy Tien'!Q29+'[3]02 Thanh Liem'!Q29+'[3]02 Kim Bang'!Q29+'[3]02 Binh Luc'!Q29+'[3]02 Phu Ly'!Q29</f>
        <v>0</v>
      </c>
      <c r="R29" s="195"/>
      <c r="S29" s="195"/>
      <c r="T29" s="185">
        <f t="shared" si="12"/>
        <v>0</v>
      </c>
      <c r="U29" s="187">
        <f t="shared" si="3"/>
      </c>
      <c r="V29" s="218">
        <f t="shared" si="8"/>
        <v>0</v>
      </c>
      <c r="W29" s="217">
        <f t="shared" si="9"/>
        <v>0</v>
      </c>
    </row>
    <row r="30" spans="1:23" ht="15.75" customHeight="1">
      <c r="A30" s="201" t="s">
        <v>30</v>
      </c>
      <c r="B30" s="202" t="s">
        <v>102</v>
      </c>
      <c r="C30" s="185">
        <f t="shared" si="4"/>
        <v>12035820</v>
      </c>
      <c r="D30" s="194">
        <f>'[3]02 VP'!D30+'[3]02 Ly Nhan'!D30+'[3]02 Duy Tien'!D30+'[3]02 Thanh Liem'!D30+'[3]02 Kim Bang'!D30+'[3]02 Binh Luc'!D30+'[3]02 Phu Ly'!D30+8196568</f>
        <v>10447271</v>
      </c>
      <c r="E30" s="195">
        <v>1588549</v>
      </c>
      <c r="F30" s="195">
        <v>59350</v>
      </c>
      <c r="G30" s="195"/>
      <c r="H30" s="185">
        <f t="shared" si="2"/>
        <v>11976470</v>
      </c>
      <c r="I30" s="185">
        <f t="shared" si="5"/>
        <v>2059868</v>
      </c>
      <c r="J30" s="196">
        <f t="shared" si="11"/>
        <v>106251</v>
      </c>
      <c r="K30" s="195">
        <v>106251</v>
      </c>
      <c r="L30" s="195"/>
      <c r="M30" s="195"/>
      <c r="N30" s="195">
        <v>1953617</v>
      </c>
      <c r="O30" s="195"/>
      <c r="P30" s="195"/>
      <c r="Q30" s="194">
        <f>'[3]02 VP'!Q30+'[3]02 Ly Nhan'!Q30+'[3]02 Duy Tien'!Q30+'[3]02 Thanh Liem'!Q30+'[3]02 Kim Bang'!Q30+'[3]02 Binh Luc'!Q30+'[3]02 Phu Ly'!Q30+8196568</f>
        <v>9916602</v>
      </c>
      <c r="R30" s="195"/>
      <c r="S30" s="195"/>
      <c r="T30" s="185">
        <f t="shared" si="12"/>
        <v>11870219</v>
      </c>
      <c r="U30" s="187">
        <f t="shared" si="3"/>
        <v>0.051581460559608674</v>
      </c>
      <c r="V30" s="218">
        <f t="shared" si="8"/>
        <v>11976470</v>
      </c>
      <c r="W30" s="217">
        <f t="shared" si="9"/>
        <v>0</v>
      </c>
    </row>
    <row r="31" spans="1:23" ht="15.75" customHeight="1">
      <c r="A31" s="201" t="s">
        <v>31</v>
      </c>
      <c r="B31" s="202" t="s">
        <v>103</v>
      </c>
      <c r="C31" s="185">
        <f t="shared" si="4"/>
        <v>482511</v>
      </c>
      <c r="D31" s="194">
        <f>'[3]02 VP'!D31+'[3]02 Ly Nhan'!D31+'[3]02 Duy Tien'!D31+'[3]02 Thanh Liem'!D31+'[3]02 Kim Bang'!D31+'[3]02 Binh Luc'!D31+'[3]02 Phu Ly'!D31</f>
        <v>0</v>
      </c>
      <c r="E31" s="195">
        <v>482511</v>
      </c>
      <c r="F31" s="195"/>
      <c r="G31" s="195"/>
      <c r="H31" s="185">
        <f t="shared" si="2"/>
        <v>482511</v>
      </c>
      <c r="I31" s="185">
        <f t="shared" si="5"/>
        <v>482511</v>
      </c>
      <c r="J31" s="196">
        <f t="shared" si="11"/>
        <v>0</v>
      </c>
      <c r="K31" s="195"/>
      <c r="L31" s="195"/>
      <c r="M31" s="195"/>
      <c r="N31" s="195">
        <v>482511</v>
      </c>
      <c r="O31" s="195"/>
      <c r="P31" s="195"/>
      <c r="Q31" s="194">
        <f>'[3]02 VP'!Q31+'[3]02 Ly Nhan'!Q31+'[3]02 Duy Tien'!Q31+'[3]02 Thanh Liem'!Q31+'[3]02 Kim Bang'!Q31+'[3]02 Binh Luc'!Q31+'[3]02 Phu Ly'!Q31</f>
        <v>0</v>
      </c>
      <c r="R31" s="195"/>
      <c r="S31" s="195"/>
      <c r="T31" s="185">
        <f t="shared" si="12"/>
        <v>482511</v>
      </c>
      <c r="U31" s="187">
        <f t="shared" si="3"/>
        <v>0</v>
      </c>
      <c r="V31" s="218">
        <f t="shared" si="8"/>
        <v>482511</v>
      </c>
      <c r="W31" s="217">
        <f t="shared" si="9"/>
        <v>0</v>
      </c>
    </row>
    <row r="32" spans="1:23" ht="15.75" customHeight="1">
      <c r="A32" s="201" t="s">
        <v>32</v>
      </c>
      <c r="B32" s="202" t="s">
        <v>104</v>
      </c>
      <c r="C32" s="185">
        <f t="shared" si="4"/>
        <v>3310346</v>
      </c>
      <c r="D32" s="194">
        <f>'[3]02 VP'!D32+'[3]02 Ly Nhan'!D32+'[3]02 Duy Tien'!D32+'[3]02 Thanh Liem'!D32+'[3]02 Kim Bang'!D32+'[3]02 Binh Luc'!D32+'[3]02 Phu Ly'!D32</f>
        <v>1074645</v>
      </c>
      <c r="E32" s="195">
        <v>2235701</v>
      </c>
      <c r="F32" s="195">
        <v>68000</v>
      </c>
      <c r="G32" s="195"/>
      <c r="H32" s="185">
        <f t="shared" si="2"/>
        <v>3242346</v>
      </c>
      <c r="I32" s="185">
        <f t="shared" si="5"/>
        <v>2935896</v>
      </c>
      <c r="J32" s="196">
        <f t="shared" si="11"/>
        <v>1377641</v>
      </c>
      <c r="K32" s="195">
        <v>1377641</v>
      </c>
      <c r="L32" s="195"/>
      <c r="M32" s="195"/>
      <c r="N32" s="195">
        <v>1558255</v>
      </c>
      <c r="O32" s="195"/>
      <c r="P32" s="195"/>
      <c r="Q32" s="194">
        <f>'[3]02 VP'!Q32+'[3]02 Ly Nhan'!Q32+'[3]02 Duy Tien'!Q32+'[3]02 Thanh Liem'!Q32+'[3]02 Kim Bang'!Q32+'[3]02 Binh Luc'!Q32+'[3]02 Phu Ly'!Q32+500</f>
        <v>306450</v>
      </c>
      <c r="R32" s="195"/>
      <c r="S32" s="195"/>
      <c r="T32" s="185">
        <f t="shared" si="12"/>
        <v>1864705</v>
      </c>
      <c r="U32" s="187">
        <f t="shared" si="3"/>
        <v>0.4692403954363506</v>
      </c>
      <c r="V32" s="218">
        <f t="shared" si="8"/>
        <v>3242346</v>
      </c>
      <c r="W32" s="217">
        <f t="shared" si="9"/>
        <v>0</v>
      </c>
    </row>
    <row r="33" spans="1:23" ht="15.75" customHeight="1">
      <c r="A33" s="201" t="s">
        <v>33</v>
      </c>
      <c r="B33" s="202" t="s">
        <v>105</v>
      </c>
      <c r="C33" s="185">
        <f t="shared" si="4"/>
        <v>835503</v>
      </c>
      <c r="D33" s="194">
        <f>'[3]02 VP'!D33+'[3]02 Ly Nhan'!D33+'[3]02 Duy Tien'!D33+'[3]02 Thanh Liem'!D33+'[3]02 Kim Bang'!D33+'[3]02 Binh Luc'!D33+'[3]02 Phu Ly'!D33</f>
        <v>835503</v>
      </c>
      <c r="E33" s="195"/>
      <c r="F33" s="195"/>
      <c r="G33" s="195"/>
      <c r="H33" s="185">
        <f t="shared" si="2"/>
        <v>835503</v>
      </c>
      <c r="I33" s="185">
        <f t="shared" si="5"/>
        <v>835503</v>
      </c>
      <c r="J33" s="196">
        <f t="shared" si="11"/>
        <v>0</v>
      </c>
      <c r="K33" s="195"/>
      <c r="L33" s="195"/>
      <c r="M33" s="195"/>
      <c r="N33" s="195">
        <v>835503</v>
      </c>
      <c r="O33" s="195"/>
      <c r="P33" s="195"/>
      <c r="Q33" s="194">
        <f>'[3]02 VP'!Q33+'[3]02 Ly Nhan'!Q33+'[3]02 Duy Tien'!Q33+'[3]02 Thanh Liem'!Q33+'[3]02 Kim Bang'!Q33+'[3]02 Binh Luc'!Q33+'[3]02 Phu Ly'!Q33</f>
        <v>0</v>
      </c>
      <c r="R33" s="195"/>
      <c r="S33" s="195"/>
      <c r="T33" s="185">
        <f t="shared" si="12"/>
        <v>835503</v>
      </c>
      <c r="U33" s="187">
        <f t="shared" si="3"/>
        <v>0</v>
      </c>
      <c r="V33" s="218">
        <f t="shared" si="8"/>
        <v>835503</v>
      </c>
      <c r="W33" s="217">
        <f t="shared" si="9"/>
        <v>0</v>
      </c>
    </row>
    <row r="34" spans="1:23" ht="15.75" customHeight="1">
      <c r="A34" s="201" t="s">
        <v>34</v>
      </c>
      <c r="B34" s="202" t="s">
        <v>106</v>
      </c>
      <c r="C34" s="185">
        <f t="shared" si="4"/>
        <v>0</v>
      </c>
      <c r="D34" s="194">
        <f>'[3]02 VP'!D34+'[3]02 Ly Nhan'!D34+'[3]02 Duy Tien'!D34+'[3]02 Thanh Liem'!D34+'[3]02 Kim Bang'!D34+'[3]02 Binh Luc'!D34+'[3]02 Phu Ly'!D34</f>
        <v>0</v>
      </c>
      <c r="E34" s="195"/>
      <c r="F34" s="195"/>
      <c r="G34" s="195"/>
      <c r="H34" s="185">
        <f t="shared" si="2"/>
        <v>0</v>
      </c>
      <c r="I34" s="185">
        <f t="shared" si="5"/>
        <v>0</v>
      </c>
      <c r="J34" s="196">
        <f t="shared" si="11"/>
        <v>0</v>
      </c>
      <c r="K34" s="195"/>
      <c r="L34" s="195"/>
      <c r="M34" s="195"/>
      <c r="N34" s="195"/>
      <c r="O34" s="195"/>
      <c r="P34" s="195"/>
      <c r="Q34" s="194">
        <f>'[3]02 VP'!Q34+'[3]02 Ly Nhan'!Q34+'[3]02 Duy Tien'!Q34+'[3]02 Thanh Liem'!Q34+'[3]02 Kim Bang'!Q34+'[3]02 Binh Luc'!Q34+'[3]02 Phu Ly'!Q34</f>
        <v>0</v>
      </c>
      <c r="R34" s="195"/>
      <c r="S34" s="195"/>
      <c r="T34" s="185">
        <f t="shared" si="12"/>
        <v>0</v>
      </c>
      <c r="U34" s="187">
        <f t="shared" si="3"/>
      </c>
      <c r="V34" s="218">
        <f t="shared" si="8"/>
        <v>0</v>
      </c>
      <c r="W34" s="217">
        <f t="shared" si="9"/>
        <v>0</v>
      </c>
    </row>
    <row r="35" spans="1:23" ht="15.75" customHeight="1">
      <c r="A35" s="201" t="s">
        <v>35</v>
      </c>
      <c r="B35" s="202" t="s">
        <v>107</v>
      </c>
      <c r="C35" s="185">
        <f t="shared" si="4"/>
        <v>0</v>
      </c>
      <c r="D35" s="194">
        <f>'[3]02 VP'!D35+'[3]02 Ly Nhan'!D35+'[3]02 Duy Tien'!D35+'[3]02 Thanh Liem'!D35+'[3]02 Kim Bang'!D35+'[3]02 Binh Luc'!D35+'[3]02 Phu Ly'!D35</f>
        <v>0</v>
      </c>
      <c r="E35" s="195"/>
      <c r="F35" s="195"/>
      <c r="G35" s="195"/>
      <c r="H35" s="185">
        <f t="shared" si="2"/>
        <v>0</v>
      </c>
      <c r="I35" s="185">
        <f t="shared" si="5"/>
        <v>0</v>
      </c>
      <c r="J35" s="196">
        <f t="shared" si="11"/>
        <v>0</v>
      </c>
      <c r="K35" s="195"/>
      <c r="L35" s="195"/>
      <c r="M35" s="195"/>
      <c r="N35" s="195"/>
      <c r="O35" s="195"/>
      <c r="P35" s="195"/>
      <c r="Q35" s="194">
        <f>'[3]02 VP'!Q35+'[3]02 Ly Nhan'!Q35+'[3]02 Duy Tien'!Q35+'[3]02 Thanh Liem'!Q35+'[3]02 Kim Bang'!Q35+'[3]02 Binh Luc'!Q35+'[3]02 Phu Ly'!Q35</f>
        <v>0</v>
      </c>
      <c r="R35" s="195"/>
      <c r="S35" s="195"/>
      <c r="T35" s="185">
        <f t="shared" si="12"/>
        <v>0</v>
      </c>
      <c r="U35" s="187">
        <f t="shared" si="3"/>
      </c>
      <c r="V35" s="218">
        <f t="shared" si="8"/>
        <v>0</v>
      </c>
      <c r="W35" s="217">
        <f t="shared" si="9"/>
        <v>0</v>
      </c>
    </row>
    <row r="36" spans="1:23" ht="15.75" customHeight="1">
      <c r="A36" s="201" t="s">
        <v>36</v>
      </c>
      <c r="B36" s="202" t="s">
        <v>108</v>
      </c>
      <c r="C36" s="185">
        <f t="shared" si="4"/>
        <v>0</v>
      </c>
      <c r="D36" s="194">
        <f>'[3]02 VP'!D36+'[3]02 Ly Nhan'!D36+'[3]02 Duy Tien'!D36+'[3]02 Thanh Liem'!D36+'[3]02 Kim Bang'!D36+'[3]02 Binh Luc'!D36+'[3]02 Phu Ly'!D36</f>
        <v>0</v>
      </c>
      <c r="E36" s="195"/>
      <c r="F36" s="195"/>
      <c r="G36" s="195"/>
      <c r="H36" s="185">
        <f t="shared" si="2"/>
        <v>0</v>
      </c>
      <c r="I36" s="185">
        <f t="shared" si="5"/>
        <v>0</v>
      </c>
      <c r="J36" s="196">
        <f t="shared" si="11"/>
        <v>0</v>
      </c>
      <c r="K36" s="195"/>
      <c r="L36" s="195"/>
      <c r="M36" s="195"/>
      <c r="N36" s="195"/>
      <c r="O36" s="195"/>
      <c r="P36" s="195"/>
      <c r="Q36" s="194">
        <f>'[3]02 VP'!Q36+'[3]02 Ly Nhan'!Q36+'[3]02 Duy Tien'!Q36+'[3]02 Thanh Liem'!Q36+'[3]02 Kim Bang'!Q36+'[3]02 Binh Luc'!Q36+'[3]02 Phu Ly'!Q36</f>
        <v>0</v>
      </c>
      <c r="R36" s="195"/>
      <c r="S36" s="195"/>
      <c r="T36" s="185">
        <f t="shared" si="12"/>
        <v>0</v>
      </c>
      <c r="U36" s="187">
        <f t="shared" si="3"/>
      </c>
      <c r="V36" s="218">
        <f t="shared" si="8"/>
        <v>0</v>
      </c>
      <c r="W36" s="217">
        <f t="shared" si="9"/>
        <v>0</v>
      </c>
    </row>
    <row r="37" spans="1:23" ht="15.75" customHeight="1">
      <c r="A37" s="201" t="s">
        <v>37</v>
      </c>
      <c r="B37" s="202" t="s">
        <v>109</v>
      </c>
      <c r="C37" s="185">
        <f t="shared" si="4"/>
        <v>0</v>
      </c>
      <c r="D37" s="194">
        <f>'[3]02 VP'!D37+'[3]02 Ly Nhan'!D37+'[3]02 Duy Tien'!D37+'[3]02 Thanh Liem'!D37+'[3]02 Kim Bang'!D37+'[3]02 Binh Luc'!D37+'[3]02 Phu Ly'!D37</f>
        <v>0</v>
      </c>
      <c r="E37" s="195"/>
      <c r="F37" s="195"/>
      <c r="G37" s="195"/>
      <c r="H37" s="185">
        <f t="shared" si="2"/>
        <v>0</v>
      </c>
      <c r="I37" s="185">
        <f t="shared" si="5"/>
        <v>0</v>
      </c>
      <c r="J37" s="196">
        <f t="shared" si="11"/>
        <v>0</v>
      </c>
      <c r="K37" s="195"/>
      <c r="L37" s="195"/>
      <c r="M37" s="195"/>
      <c r="N37" s="195"/>
      <c r="O37" s="195"/>
      <c r="P37" s="195"/>
      <c r="Q37" s="194">
        <f>'[3]02 VP'!Q37+'[3]02 Ly Nhan'!Q37+'[3]02 Duy Tien'!Q37+'[3]02 Thanh Liem'!Q37+'[3]02 Kim Bang'!Q37+'[3]02 Binh Luc'!Q37+'[3]02 Phu Ly'!Q37</f>
        <v>0</v>
      </c>
      <c r="R37" s="195"/>
      <c r="S37" s="195"/>
      <c r="T37" s="185">
        <f t="shared" si="12"/>
        <v>0</v>
      </c>
      <c r="U37" s="187">
        <f t="shared" si="3"/>
      </c>
      <c r="V37" s="218">
        <f t="shared" si="8"/>
        <v>0</v>
      </c>
      <c r="W37" s="217">
        <f t="shared" si="9"/>
        <v>0</v>
      </c>
    </row>
    <row r="38" spans="1:25" s="22" customFormat="1" ht="20.25" customHeight="1">
      <c r="A38" s="347"/>
      <c r="B38" s="348"/>
      <c r="C38" s="348"/>
      <c r="D38" s="348"/>
      <c r="E38" s="348"/>
      <c r="F38" s="20"/>
      <c r="G38" s="20"/>
      <c r="H38" s="20"/>
      <c r="I38" s="21"/>
      <c r="J38" s="21"/>
      <c r="K38" s="21"/>
      <c r="L38" s="21"/>
      <c r="M38" s="21"/>
      <c r="N38" s="315" t="s">
        <v>184</v>
      </c>
      <c r="O38" s="316"/>
      <c r="P38" s="316"/>
      <c r="Q38" s="316"/>
      <c r="R38" s="316"/>
      <c r="S38" s="316"/>
      <c r="T38" s="316"/>
      <c r="U38" s="316"/>
      <c r="V38" s="85"/>
      <c r="W38" s="85"/>
      <c r="X38" s="85"/>
      <c r="Y38" s="85"/>
    </row>
    <row r="39" spans="1:21" ht="15.75" customHeight="1">
      <c r="A39" s="317" t="s">
        <v>84</v>
      </c>
      <c r="B39" s="318"/>
      <c r="C39" s="318"/>
      <c r="D39" s="318"/>
      <c r="E39" s="318"/>
      <c r="F39" s="23"/>
      <c r="G39" s="23"/>
      <c r="H39" s="23"/>
      <c r="I39" s="24"/>
      <c r="J39" s="24"/>
      <c r="K39" s="24"/>
      <c r="L39" s="24"/>
      <c r="M39" s="24"/>
      <c r="N39" s="319" t="str">
        <f>'[3]TT'!C5</f>
        <v>CỤC TRƯỞNG</v>
      </c>
      <c r="O39" s="319"/>
      <c r="P39" s="319"/>
      <c r="Q39" s="319"/>
      <c r="R39" s="319"/>
      <c r="S39" s="319"/>
      <c r="T39" s="319"/>
      <c r="U39" s="319"/>
    </row>
    <row r="40" spans="1:21" ht="80.25" customHeight="1">
      <c r="A40" s="151"/>
      <c r="B40" s="151"/>
      <c r="C40" s="151"/>
      <c r="D40" s="151"/>
      <c r="E40" s="151"/>
      <c r="F40" s="26"/>
      <c r="G40" s="26"/>
      <c r="H40" s="26"/>
      <c r="I40" s="24"/>
      <c r="J40" s="24"/>
      <c r="K40" s="24"/>
      <c r="L40" s="24"/>
      <c r="M40" s="24"/>
      <c r="N40" s="131"/>
      <c r="O40" s="131"/>
      <c r="P40" s="124"/>
      <c r="Q40" s="220"/>
      <c r="R40" s="124"/>
      <c r="S40" s="131"/>
      <c r="T40" s="127"/>
      <c r="U40" s="127"/>
    </row>
    <row r="41" spans="1:21" ht="15.75" customHeight="1">
      <c r="A41" s="307" t="s">
        <v>181</v>
      </c>
      <c r="B41" s="307"/>
      <c r="C41" s="307"/>
      <c r="D41" s="307"/>
      <c r="E41" s="307"/>
      <c r="F41" s="29" t="s">
        <v>45</v>
      </c>
      <c r="G41" s="29"/>
      <c r="H41" s="29"/>
      <c r="I41" s="29"/>
      <c r="J41" s="29"/>
      <c r="K41" s="29"/>
      <c r="L41" s="29"/>
      <c r="M41" s="29"/>
      <c r="N41" s="308" t="s">
        <v>180</v>
      </c>
      <c r="O41" s="308"/>
      <c r="P41" s="308"/>
      <c r="Q41" s="308"/>
      <c r="R41" s="308"/>
      <c r="S41" s="308"/>
      <c r="T41" s="308"/>
      <c r="U41" s="308"/>
    </row>
    <row r="42" spans="1:21" ht="15.75">
      <c r="A42" s="206"/>
      <c r="B42" s="206"/>
      <c r="C42" s="206"/>
      <c r="D42" s="207"/>
      <c r="E42" s="206"/>
      <c r="F42" s="206"/>
      <c r="G42" s="206"/>
      <c r="H42" s="206"/>
      <c r="I42" s="206"/>
      <c r="J42" s="206"/>
      <c r="K42" s="206"/>
      <c r="L42" s="206"/>
      <c r="M42" s="208"/>
      <c r="N42" s="208"/>
      <c r="O42" s="208"/>
      <c r="P42" s="208"/>
      <c r="Q42" s="209"/>
      <c r="R42" s="208"/>
      <c r="S42" s="208"/>
      <c r="T42" s="208"/>
      <c r="U42" s="208"/>
    </row>
  </sheetData>
  <sheetProtection formatCells="0" formatColumns="0" formatRows="0" insertRows="0"/>
  <mergeCells count="34">
    <mergeCell ref="A1:D1"/>
    <mergeCell ref="E1:O1"/>
    <mergeCell ref="P1:U1"/>
    <mergeCell ref="P2:U2"/>
    <mergeCell ref="A3:A7"/>
    <mergeCell ref="B3:B7"/>
    <mergeCell ref="C3:C7"/>
    <mergeCell ref="D3:E3"/>
    <mergeCell ref="F3:F7"/>
    <mergeCell ref="G3:G7"/>
    <mergeCell ref="H3:H7"/>
    <mergeCell ref="I3:S3"/>
    <mergeCell ref="T3:T7"/>
    <mergeCell ref="U3:U7"/>
    <mergeCell ref="D4:D7"/>
    <mergeCell ref="E4:E7"/>
    <mergeCell ref="I4:I7"/>
    <mergeCell ref="J4:P4"/>
    <mergeCell ref="Q4:Q7"/>
    <mergeCell ref="R4:R7"/>
    <mergeCell ref="S4:S7"/>
    <mergeCell ref="J5:J7"/>
    <mergeCell ref="K5:M6"/>
    <mergeCell ref="N5:N7"/>
    <mergeCell ref="O5:O7"/>
    <mergeCell ref="P5:P7"/>
    <mergeCell ref="A41:E41"/>
    <mergeCell ref="N41:U41"/>
    <mergeCell ref="A8:B8"/>
    <mergeCell ref="A9:B9"/>
    <mergeCell ref="A38:E38"/>
    <mergeCell ref="N38:U38"/>
    <mergeCell ref="A39:E39"/>
    <mergeCell ref="N39:U39"/>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F37"/>
  <sheetViews>
    <sheetView tabSelected="1" view="pageBreakPreview" zoomScale="85" zoomScaleNormal="90" zoomScaleSheetLayoutView="85" zoomScalePageLayoutView="0" workbookViewId="0" topLeftCell="A1">
      <selection activeCell="F32" sqref="F32"/>
    </sheetView>
  </sheetViews>
  <sheetFormatPr defaultColWidth="9.00390625" defaultRowHeight="15.75"/>
  <cols>
    <col min="1" max="1" width="7.25390625" style="170" customWidth="1"/>
    <col min="2" max="2" width="58.875" style="170" customWidth="1"/>
    <col min="3" max="3" width="16.875" style="170" customWidth="1"/>
    <col min="4" max="4" width="16.375" style="170" customWidth="1"/>
    <col min="5" max="5" width="16.00390625" style="225" customWidth="1"/>
    <col min="6" max="6" width="11.00390625" style="225" bestFit="1" customWidth="1"/>
    <col min="7" max="16384" width="9.00390625" style="170" customWidth="1"/>
  </cols>
  <sheetData>
    <row r="1" spans="1:6" s="158" customFormat="1" ht="50.25" customHeight="1">
      <c r="A1" s="366" t="s">
        <v>175</v>
      </c>
      <c r="B1" s="367"/>
      <c r="C1" s="367"/>
      <c r="D1" s="367"/>
      <c r="E1" s="222"/>
      <c r="F1" s="222"/>
    </row>
    <row r="2" spans="1:6" s="160" customFormat="1" ht="39.75" customHeight="1">
      <c r="A2" s="368" t="s">
        <v>112</v>
      </c>
      <c r="B2" s="369"/>
      <c r="C2" s="211" t="s">
        <v>113</v>
      </c>
      <c r="D2" s="211" t="s">
        <v>114</v>
      </c>
      <c r="E2" s="223"/>
      <c r="F2" s="223"/>
    </row>
    <row r="3" spans="1:4" ht="21" customHeight="1">
      <c r="A3" s="161" t="s">
        <v>25</v>
      </c>
      <c r="B3" s="162" t="s">
        <v>115</v>
      </c>
      <c r="C3" s="233">
        <f>SUM(C4:C11)-C6-C10</f>
        <v>89221</v>
      </c>
      <c r="D3" s="233">
        <f>SUM(D4:D11)-D9</f>
        <v>7719040</v>
      </c>
    </row>
    <row r="4" spans="1:6" s="164" customFormat="1" ht="21" customHeight="1">
      <c r="A4" s="165" t="s">
        <v>116</v>
      </c>
      <c r="B4" s="166" t="s">
        <v>117</v>
      </c>
      <c r="C4" s="234">
        <v>7270</v>
      </c>
      <c r="D4" s="234"/>
      <c r="E4" s="224"/>
      <c r="F4" s="224"/>
    </row>
    <row r="5" spans="1:6" s="164" customFormat="1" ht="21" customHeight="1">
      <c r="A5" s="165" t="s">
        <v>118</v>
      </c>
      <c r="B5" s="166" t="s">
        <v>119</v>
      </c>
      <c r="C5" s="234"/>
      <c r="D5" s="234"/>
      <c r="E5" s="224"/>
      <c r="F5" s="224"/>
    </row>
    <row r="6" spans="1:6" s="164" customFormat="1" ht="21" customHeight="1">
      <c r="A6" s="165" t="s">
        <v>120</v>
      </c>
      <c r="B6" s="166" t="s">
        <v>121</v>
      </c>
      <c r="C6" s="235"/>
      <c r="D6" s="234">
        <v>7719040</v>
      </c>
      <c r="E6" s="224"/>
      <c r="F6" s="224"/>
    </row>
    <row r="7" spans="1:6" s="173" customFormat="1" ht="21" customHeight="1">
      <c r="A7" s="165" t="s">
        <v>122</v>
      </c>
      <c r="B7" s="166" t="s">
        <v>123</v>
      </c>
      <c r="C7" s="234"/>
      <c r="D7" s="234"/>
      <c r="E7" s="226"/>
      <c r="F7" s="226"/>
    </row>
    <row r="8" spans="1:6" s="164" customFormat="1" ht="21" customHeight="1">
      <c r="A8" s="165" t="s">
        <v>124</v>
      </c>
      <c r="B8" s="166" t="s">
        <v>125</v>
      </c>
      <c r="C8" s="234"/>
      <c r="D8" s="234"/>
      <c r="E8" s="224"/>
      <c r="F8" s="224"/>
    </row>
    <row r="9" spans="1:6" s="164" customFormat="1" ht="21" customHeight="1">
      <c r="A9" s="165" t="s">
        <v>126</v>
      </c>
      <c r="B9" s="166" t="s">
        <v>127</v>
      </c>
      <c r="C9" s="234">
        <v>81951</v>
      </c>
      <c r="D9" s="235"/>
      <c r="E9" s="224"/>
      <c r="F9" s="224"/>
    </row>
    <row r="10" spans="1:6" s="164" customFormat="1" ht="21" customHeight="1">
      <c r="A10" s="165" t="s">
        <v>128</v>
      </c>
      <c r="B10" s="166" t="s">
        <v>129</v>
      </c>
      <c r="C10" s="235"/>
      <c r="D10" s="234"/>
      <c r="E10" s="224"/>
      <c r="F10" s="224"/>
    </row>
    <row r="11" spans="1:6" s="164" customFormat="1" ht="21" customHeight="1">
      <c r="A11" s="165" t="s">
        <v>130</v>
      </c>
      <c r="B11" s="166" t="s">
        <v>131</v>
      </c>
      <c r="C11" s="234"/>
      <c r="D11" s="234"/>
      <c r="E11" s="224"/>
      <c r="F11" s="224"/>
    </row>
    <row r="12" spans="1:6" s="173" customFormat="1" ht="21" customHeight="1">
      <c r="A12" s="161" t="s">
        <v>26</v>
      </c>
      <c r="B12" s="162" t="s">
        <v>21</v>
      </c>
      <c r="C12" s="233">
        <f>SUM(C13:C15)</f>
        <v>2486</v>
      </c>
      <c r="D12" s="233">
        <f>SUM(D13:D15)</f>
        <v>204310</v>
      </c>
      <c r="E12" s="226"/>
      <c r="F12" s="226"/>
    </row>
    <row r="13" spans="1:6" s="173" customFormat="1" ht="21" customHeight="1">
      <c r="A13" s="165" t="s">
        <v>132</v>
      </c>
      <c r="B13" s="171" t="s">
        <v>133</v>
      </c>
      <c r="C13" s="236">
        <v>2486</v>
      </c>
      <c r="D13" s="234"/>
      <c r="E13" s="226"/>
      <c r="F13" s="226"/>
    </row>
    <row r="14" spans="1:6" s="173" customFormat="1" ht="21" customHeight="1">
      <c r="A14" s="165" t="s">
        <v>134</v>
      </c>
      <c r="B14" s="171" t="s">
        <v>135</v>
      </c>
      <c r="C14" s="236"/>
      <c r="D14" s="234"/>
      <c r="E14" s="226"/>
      <c r="F14" s="226"/>
    </row>
    <row r="15" spans="1:6" s="174" customFormat="1" ht="21" customHeight="1">
      <c r="A15" s="165" t="s">
        <v>136</v>
      </c>
      <c r="B15" s="166" t="s">
        <v>137</v>
      </c>
      <c r="C15" s="234"/>
      <c r="D15" s="234">
        <v>204310</v>
      </c>
      <c r="E15" s="227"/>
      <c r="F15" s="227"/>
    </row>
    <row r="16" spans="1:6" s="175" customFormat="1" ht="21" customHeight="1">
      <c r="A16" s="161" t="s">
        <v>27</v>
      </c>
      <c r="B16" s="162" t="s">
        <v>138</v>
      </c>
      <c r="C16" s="233">
        <f>SUM(C17:C25)-C19-C24</f>
        <v>0</v>
      </c>
      <c r="D16" s="234">
        <f>SUM(D17:D25)</f>
        <v>0</v>
      </c>
      <c r="E16" s="228"/>
      <c r="F16" s="228"/>
    </row>
    <row r="17" spans="1:6" s="175" customFormat="1" ht="21" customHeight="1">
      <c r="A17" s="165" t="s">
        <v>139</v>
      </c>
      <c r="B17" s="166" t="s">
        <v>140</v>
      </c>
      <c r="C17" s="234"/>
      <c r="D17" s="234"/>
      <c r="E17" s="228"/>
      <c r="F17" s="228"/>
    </row>
    <row r="18" spans="1:6" s="175" customFormat="1" ht="21" customHeight="1">
      <c r="A18" s="165" t="s">
        <v>141</v>
      </c>
      <c r="B18" s="166" t="s">
        <v>142</v>
      </c>
      <c r="C18" s="234"/>
      <c r="D18" s="234"/>
      <c r="E18" s="228"/>
      <c r="F18" s="228"/>
    </row>
    <row r="19" spans="1:6" s="176" customFormat="1" ht="21" customHeight="1">
      <c r="A19" s="165" t="s">
        <v>143</v>
      </c>
      <c r="B19" s="166" t="s">
        <v>144</v>
      </c>
      <c r="C19" s="235"/>
      <c r="D19" s="234"/>
      <c r="E19" s="229"/>
      <c r="F19" s="229"/>
    </row>
    <row r="20" spans="1:4" ht="21" customHeight="1">
      <c r="A20" s="165" t="s">
        <v>145</v>
      </c>
      <c r="B20" s="166" t="s">
        <v>146</v>
      </c>
      <c r="C20" s="234"/>
      <c r="D20" s="237"/>
    </row>
    <row r="21" spans="1:4" ht="21" customHeight="1">
      <c r="A21" s="165" t="s">
        <v>147</v>
      </c>
      <c r="B21" s="166" t="s">
        <v>148</v>
      </c>
      <c r="C21" s="234"/>
      <c r="D21" s="234"/>
    </row>
    <row r="22" spans="1:4" ht="21" customHeight="1">
      <c r="A22" s="165" t="s">
        <v>149</v>
      </c>
      <c r="B22" s="166" t="s">
        <v>150</v>
      </c>
      <c r="C22" s="234"/>
      <c r="D22" s="234"/>
    </row>
    <row r="23" spans="1:6" s="164" customFormat="1" ht="21" customHeight="1">
      <c r="A23" s="165" t="s">
        <v>151</v>
      </c>
      <c r="B23" s="166" t="s">
        <v>152</v>
      </c>
      <c r="C23" s="234"/>
      <c r="D23" s="234"/>
      <c r="E23" s="224"/>
      <c r="F23" s="224"/>
    </row>
    <row r="24" spans="1:6" s="164" customFormat="1" ht="21" customHeight="1">
      <c r="A24" s="165" t="s">
        <v>153</v>
      </c>
      <c r="B24" s="166" t="s">
        <v>154</v>
      </c>
      <c r="C24" s="235"/>
      <c r="D24" s="234"/>
      <c r="E24" s="224"/>
      <c r="F24" s="224"/>
    </row>
    <row r="25" spans="1:6" s="164" customFormat="1" ht="21" customHeight="1">
      <c r="A25" s="165" t="s">
        <v>155</v>
      </c>
      <c r="B25" s="166" t="s">
        <v>156</v>
      </c>
      <c r="C25" s="234"/>
      <c r="D25" s="237"/>
      <c r="E25" s="224"/>
      <c r="F25" s="224"/>
    </row>
    <row r="26" spans="1:6" s="164" customFormat="1" ht="21" customHeight="1">
      <c r="A26" s="161" t="s">
        <v>28</v>
      </c>
      <c r="B26" s="162" t="s">
        <v>157</v>
      </c>
      <c r="C26" s="233">
        <f>SUM(C27:C28)</f>
        <v>243418</v>
      </c>
      <c r="D26" s="233">
        <f>SUM(D27:D28)</f>
        <v>768640</v>
      </c>
      <c r="E26" s="224"/>
      <c r="F26" s="224"/>
    </row>
    <row r="27" spans="1:6" s="164" customFormat="1" ht="21" customHeight="1">
      <c r="A27" s="165" t="s">
        <v>158</v>
      </c>
      <c r="B27" s="166" t="s">
        <v>159</v>
      </c>
      <c r="C27" s="234">
        <v>100239</v>
      </c>
      <c r="D27" s="234">
        <v>768640</v>
      </c>
      <c r="E27" s="224"/>
      <c r="F27" s="224"/>
    </row>
    <row r="28" spans="1:6" s="164" customFormat="1" ht="21" customHeight="1">
      <c r="A28" s="165" t="s">
        <v>160</v>
      </c>
      <c r="B28" s="166" t="s">
        <v>161</v>
      </c>
      <c r="C28" s="234">
        <v>143179</v>
      </c>
      <c r="D28" s="234"/>
      <c r="E28" s="224"/>
      <c r="F28" s="224"/>
    </row>
    <row r="29" spans="1:6" s="164" customFormat="1" ht="21" customHeight="1">
      <c r="A29" s="177" t="s">
        <v>29</v>
      </c>
      <c r="B29" s="178" t="s">
        <v>162</v>
      </c>
      <c r="C29" s="233">
        <f>SUM(C30:C33)</f>
        <v>11458841</v>
      </c>
      <c r="D29" s="233">
        <f>SUM(D30:D33)</f>
        <v>101826343</v>
      </c>
      <c r="E29" s="230"/>
      <c r="F29" s="435"/>
    </row>
    <row r="30" spans="1:6" s="164" customFormat="1" ht="21" customHeight="1">
      <c r="A30" s="179" t="s">
        <v>163</v>
      </c>
      <c r="B30" s="180" t="s">
        <v>164</v>
      </c>
      <c r="C30" s="234">
        <v>11065922</v>
      </c>
      <c r="D30" s="238">
        <v>101481199</v>
      </c>
      <c r="E30" s="230"/>
      <c r="F30" s="230"/>
    </row>
    <row r="31" spans="1:6" s="164" customFormat="1" ht="21" customHeight="1">
      <c r="A31" s="179" t="s">
        <v>165</v>
      </c>
      <c r="B31" s="180" t="s">
        <v>166</v>
      </c>
      <c r="C31" s="234"/>
      <c r="D31" s="238">
        <v>0</v>
      </c>
      <c r="E31" s="224"/>
      <c r="F31" s="224"/>
    </row>
    <row r="32" spans="1:6" s="164" customFormat="1" ht="21" customHeight="1">
      <c r="A32" s="179" t="s">
        <v>167</v>
      </c>
      <c r="B32" s="180" t="s">
        <v>168</v>
      </c>
      <c r="C32" s="234">
        <v>392919</v>
      </c>
      <c r="D32" s="238">
        <v>345144</v>
      </c>
      <c r="E32" s="224"/>
      <c r="F32" s="224"/>
    </row>
    <row r="33" spans="1:6" s="164" customFormat="1" ht="21" customHeight="1">
      <c r="A33" s="179" t="s">
        <v>169</v>
      </c>
      <c r="B33" s="180" t="s">
        <v>170</v>
      </c>
      <c r="C33" s="234"/>
      <c r="D33" s="239"/>
      <c r="E33" s="224"/>
      <c r="F33" s="224"/>
    </row>
    <row r="34" spans="1:6" s="164" customFormat="1" ht="21" customHeight="1">
      <c r="A34" s="177" t="s">
        <v>30</v>
      </c>
      <c r="B34" s="178" t="s">
        <v>171</v>
      </c>
      <c r="C34" s="233">
        <v>6823100</v>
      </c>
      <c r="D34" s="233">
        <v>5581848</v>
      </c>
      <c r="E34" s="224"/>
      <c r="F34" s="224"/>
    </row>
    <row r="35" spans="1:6" s="164" customFormat="1" ht="52.5" customHeight="1">
      <c r="A35" s="370" t="s">
        <v>172</v>
      </c>
      <c r="B35" s="370"/>
      <c r="C35" s="370"/>
      <c r="D35" s="370"/>
      <c r="E35" s="224"/>
      <c r="F35" s="224"/>
    </row>
    <row r="36" spans="1:4" ht="15.75">
      <c r="A36" s="371" t="s">
        <v>173</v>
      </c>
      <c r="B36" s="371"/>
      <c r="C36" s="371"/>
      <c r="D36" s="371"/>
    </row>
    <row r="37" ht="15.75">
      <c r="E37" s="232" t="s">
        <v>45</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X53"/>
  <sheetViews>
    <sheetView view="pageBreakPreview" zoomScaleSheetLayoutView="100" zoomScalePageLayoutView="0" workbookViewId="0" topLeftCell="A1">
      <selection activeCell="N49" sqref="N49:U49"/>
    </sheetView>
  </sheetViews>
  <sheetFormatPr defaultColWidth="9.00390625" defaultRowHeight="15.75"/>
  <cols>
    <col min="1" max="1" width="4.125" style="1" customWidth="1"/>
    <col min="2" max="2" width="20.875" style="31" customWidth="1"/>
    <col min="3" max="3" width="6.625" style="1" customWidth="1"/>
    <col min="4" max="4" width="7.25390625" style="1" customWidth="1"/>
    <col min="5" max="5" width="8.375" style="77" customWidth="1"/>
    <col min="6" max="6" width="6.75390625" style="1" customWidth="1"/>
    <col min="7" max="7" width="6.50390625" style="1" customWidth="1"/>
    <col min="8" max="8" width="5.375" style="5" customWidth="1"/>
    <col min="9" max="9" width="8.375" style="1" customWidth="1"/>
    <col min="10" max="10" width="6.75390625" style="1" customWidth="1"/>
    <col min="11" max="11" width="6.625" style="1" customWidth="1"/>
    <col min="12" max="13" width="7.125" style="81" customWidth="1"/>
    <col min="14" max="14" width="7.375" style="94" customWidth="1"/>
    <col min="15" max="15" width="6.50390625" style="88" customWidth="1"/>
    <col min="16" max="16" width="5.625" style="94" customWidth="1"/>
    <col min="17" max="17" width="7.00390625" style="76" customWidth="1"/>
    <col min="18" max="18" width="7.00390625" style="8" customWidth="1"/>
    <col min="19" max="19" width="5.75390625" style="32" customWidth="1"/>
    <col min="20" max="20" width="7.25390625" style="32" customWidth="1"/>
    <col min="21" max="21" width="7.375" style="32" customWidth="1"/>
    <col min="22" max="24" width="9.00390625" style="40" customWidth="1"/>
    <col min="25" max="16384" width="9.00390625" style="1" customWidth="1"/>
  </cols>
  <sheetData>
    <row r="1" spans="1:21" ht="65.25" customHeight="1">
      <c r="A1" s="359" t="s">
        <v>0</v>
      </c>
      <c r="B1" s="359"/>
      <c r="C1" s="359"/>
      <c r="D1" s="359"/>
      <c r="E1" s="330" t="s">
        <v>178</v>
      </c>
      <c r="F1" s="330"/>
      <c r="G1" s="330"/>
      <c r="H1" s="330"/>
      <c r="I1" s="330"/>
      <c r="J1" s="330"/>
      <c r="K1" s="330"/>
      <c r="L1" s="330"/>
      <c r="M1" s="330"/>
      <c r="N1" s="330"/>
      <c r="O1" s="330"/>
      <c r="P1" s="360" t="str">
        <f>'[1]TT'!C2</f>
        <v>Đơn vị  báo cáo: 
Đơn vị nhận báo cáo: </v>
      </c>
      <c r="Q1" s="360"/>
      <c r="R1" s="360"/>
      <c r="S1" s="360"/>
      <c r="T1" s="360"/>
      <c r="U1" s="360"/>
    </row>
    <row r="2" spans="1:21" ht="17.25" customHeight="1">
      <c r="A2" s="2"/>
      <c r="B2" s="3"/>
      <c r="C2" s="4"/>
      <c r="D2" s="4"/>
      <c r="F2" s="5"/>
      <c r="G2" s="5"/>
      <c r="I2" s="6"/>
      <c r="J2" s="6"/>
      <c r="K2" s="6"/>
      <c r="L2" s="96"/>
      <c r="M2" s="97"/>
      <c r="N2" s="88"/>
      <c r="P2" s="361" t="s">
        <v>1</v>
      </c>
      <c r="Q2" s="361"/>
      <c r="R2" s="361"/>
      <c r="S2" s="361"/>
      <c r="T2" s="361"/>
      <c r="U2" s="361"/>
    </row>
    <row r="3" spans="1:24" s="9" customFormat="1" ht="15.75" customHeight="1">
      <c r="A3" s="372" t="s">
        <v>2</v>
      </c>
      <c r="B3" s="372" t="s">
        <v>3</v>
      </c>
      <c r="C3" s="375" t="s">
        <v>4</v>
      </c>
      <c r="D3" s="350" t="s">
        <v>5</v>
      </c>
      <c r="E3" s="350" t="s">
        <v>6</v>
      </c>
      <c r="F3" s="350"/>
      <c r="G3" s="376" t="s">
        <v>7</v>
      </c>
      <c r="H3" s="377" t="s">
        <v>8</v>
      </c>
      <c r="I3" s="376" t="s">
        <v>9</v>
      </c>
      <c r="J3" s="351" t="s">
        <v>6</v>
      </c>
      <c r="K3" s="352"/>
      <c r="L3" s="352"/>
      <c r="M3" s="352"/>
      <c r="N3" s="352"/>
      <c r="O3" s="352"/>
      <c r="P3" s="352"/>
      <c r="Q3" s="352"/>
      <c r="R3" s="352"/>
      <c r="S3" s="352"/>
      <c r="T3" s="378" t="s">
        <v>10</v>
      </c>
      <c r="U3" s="356" t="s">
        <v>11</v>
      </c>
      <c r="V3" s="41"/>
      <c r="W3" s="41"/>
      <c r="X3" s="41"/>
    </row>
    <row r="4" spans="1:24" s="10" customFormat="1" ht="15.75" customHeight="1">
      <c r="A4" s="373"/>
      <c r="B4" s="373"/>
      <c r="C4" s="375"/>
      <c r="D4" s="350"/>
      <c r="E4" s="381" t="s">
        <v>12</v>
      </c>
      <c r="F4" s="350" t="s">
        <v>13</v>
      </c>
      <c r="G4" s="376"/>
      <c r="H4" s="377"/>
      <c r="I4" s="376"/>
      <c r="J4" s="376" t="s">
        <v>14</v>
      </c>
      <c r="K4" s="350" t="s">
        <v>6</v>
      </c>
      <c r="L4" s="350"/>
      <c r="M4" s="350"/>
      <c r="N4" s="350"/>
      <c r="O4" s="350"/>
      <c r="P4" s="350"/>
      <c r="Q4" s="382" t="s">
        <v>15</v>
      </c>
      <c r="R4" s="377" t="s">
        <v>16</v>
      </c>
      <c r="S4" s="383" t="s">
        <v>17</v>
      </c>
      <c r="T4" s="379"/>
      <c r="U4" s="357"/>
      <c r="V4" s="42"/>
      <c r="W4" s="42"/>
      <c r="X4" s="42"/>
    </row>
    <row r="5" spans="1:24" s="9" customFormat="1" ht="15.75" customHeight="1">
      <c r="A5" s="373"/>
      <c r="B5" s="373"/>
      <c r="C5" s="375"/>
      <c r="D5" s="350"/>
      <c r="E5" s="381"/>
      <c r="F5" s="350"/>
      <c r="G5" s="376"/>
      <c r="H5" s="377"/>
      <c r="I5" s="376"/>
      <c r="J5" s="376"/>
      <c r="K5" s="376" t="s">
        <v>18</v>
      </c>
      <c r="L5" s="384" t="s">
        <v>6</v>
      </c>
      <c r="M5" s="384"/>
      <c r="N5" s="385" t="s">
        <v>19</v>
      </c>
      <c r="O5" s="386" t="s">
        <v>20</v>
      </c>
      <c r="P5" s="385" t="s">
        <v>21</v>
      </c>
      <c r="Q5" s="382"/>
      <c r="R5" s="377"/>
      <c r="S5" s="383"/>
      <c r="T5" s="379"/>
      <c r="U5" s="357"/>
      <c r="V5" s="41"/>
      <c r="W5" s="41"/>
      <c r="X5" s="41"/>
    </row>
    <row r="6" spans="1:24" s="9" customFormat="1" ht="15.75" customHeight="1">
      <c r="A6" s="373"/>
      <c r="B6" s="373"/>
      <c r="C6" s="375"/>
      <c r="D6" s="350"/>
      <c r="E6" s="381"/>
      <c r="F6" s="350"/>
      <c r="G6" s="376"/>
      <c r="H6" s="377"/>
      <c r="I6" s="376"/>
      <c r="J6" s="376"/>
      <c r="K6" s="376"/>
      <c r="L6" s="384"/>
      <c r="M6" s="384"/>
      <c r="N6" s="385"/>
      <c r="O6" s="386"/>
      <c r="P6" s="385"/>
      <c r="Q6" s="382"/>
      <c r="R6" s="377"/>
      <c r="S6" s="383"/>
      <c r="T6" s="379"/>
      <c r="U6" s="357"/>
      <c r="V6" s="41"/>
      <c r="W6" s="41"/>
      <c r="X6" s="41"/>
    </row>
    <row r="7" spans="1:24" s="9" customFormat="1" ht="44.25" customHeight="1">
      <c r="A7" s="374"/>
      <c r="B7" s="374"/>
      <c r="C7" s="375"/>
      <c r="D7" s="350"/>
      <c r="E7" s="381"/>
      <c r="F7" s="350"/>
      <c r="G7" s="376"/>
      <c r="H7" s="377"/>
      <c r="I7" s="376"/>
      <c r="J7" s="376"/>
      <c r="K7" s="376"/>
      <c r="L7" s="98" t="s">
        <v>22</v>
      </c>
      <c r="M7" s="98" t="s">
        <v>23</v>
      </c>
      <c r="N7" s="385"/>
      <c r="O7" s="386"/>
      <c r="P7" s="385"/>
      <c r="Q7" s="382"/>
      <c r="R7" s="377"/>
      <c r="S7" s="383"/>
      <c r="T7" s="380"/>
      <c r="U7" s="357"/>
      <c r="V7" s="41"/>
      <c r="W7" s="44"/>
      <c r="X7" s="41"/>
    </row>
    <row r="8" spans="1:21" ht="14.25" customHeight="1">
      <c r="A8" s="389" t="s">
        <v>24</v>
      </c>
      <c r="B8" s="390"/>
      <c r="C8" s="11" t="s">
        <v>25</v>
      </c>
      <c r="D8" s="11" t="s">
        <v>26</v>
      </c>
      <c r="E8" s="71" t="s">
        <v>27</v>
      </c>
      <c r="F8" s="11" t="s">
        <v>28</v>
      </c>
      <c r="G8" s="11" t="s">
        <v>29</v>
      </c>
      <c r="H8" s="45" t="s">
        <v>30</v>
      </c>
      <c r="I8" s="11" t="s">
        <v>31</v>
      </c>
      <c r="J8" s="11" t="s">
        <v>32</v>
      </c>
      <c r="K8" s="11" t="s">
        <v>33</v>
      </c>
      <c r="L8" s="90" t="s">
        <v>34</v>
      </c>
      <c r="M8" s="90" t="s">
        <v>35</v>
      </c>
      <c r="N8" s="90" t="s">
        <v>36</v>
      </c>
      <c r="O8" s="89" t="s">
        <v>37</v>
      </c>
      <c r="P8" s="90" t="s">
        <v>38</v>
      </c>
      <c r="Q8" s="71" t="s">
        <v>39</v>
      </c>
      <c r="R8" s="45" t="s">
        <v>40</v>
      </c>
      <c r="S8" s="11" t="s">
        <v>41</v>
      </c>
      <c r="T8" s="11" t="s">
        <v>42</v>
      </c>
      <c r="U8" s="11" t="s">
        <v>43</v>
      </c>
    </row>
    <row r="9" spans="1:24" s="14" customFormat="1" ht="16.5" customHeight="1">
      <c r="A9" s="350" t="s">
        <v>44</v>
      </c>
      <c r="B9" s="350"/>
      <c r="C9" s="49">
        <f aca="true" t="shared" si="0" ref="C9:C15">D9</f>
        <v>1558</v>
      </c>
      <c r="D9" s="49">
        <f>E9+F9</f>
        <v>1558</v>
      </c>
      <c r="E9" s="78">
        <f>SUM(E10,E16)</f>
        <v>793</v>
      </c>
      <c r="F9" s="50">
        <f>SUM(F10,F16)</f>
        <v>765</v>
      </c>
      <c r="G9" s="50">
        <f>SUM(G10,G16)</f>
        <v>7</v>
      </c>
      <c r="H9" s="49">
        <f>SUM(H10:H16)</f>
        <v>0</v>
      </c>
      <c r="I9" s="49">
        <f>SUM(I11:I16)</f>
        <v>1551</v>
      </c>
      <c r="J9" s="49">
        <f aca="true" t="shared" si="1" ref="J9:T9">SUM(J11:J16)</f>
        <v>1171</v>
      </c>
      <c r="K9" s="49">
        <f t="shared" si="1"/>
        <v>501</v>
      </c>
      <c r="L9" s="49">
        <f t="shared" si="1"/>
        <v>483</v>
      </c>
      <c r="M9" s="49">
        <f t="shared" si="1"/>
        <v>18</v>
      </c>
      <c r="N9" s="49">
        <f t="shared" si="1"/>
        <v>666</v>
      </c>
      <c r="O9" s="49">
        <f t="shared" si="1"/>
        <v>0</v>
      </c>
      <c r="P9" s="49">
        <f t="shared" si="1"/>
        <v>4</v>
      </c>
      <c r="Q9" s="72">
        <f t="shared" si="1"/>
        <v>373</v>
      </c>
      <c r="R9" s="49">
        <f t="shared" si="1"/>
        <v>0</v>
      </c>
      <c r="S9" s="49">
        <f t="shared" si="1"/>
        <v>7</v>
      </c>
      <c r="T9" s="49">
        <f t="shared" si="1"/>
        <v>1050</v>
      </c>
      <c r="U9" s="13">
        <f aca="true" t="shared" si="2" ref="U9:U48">IF(J9&lt;&gt;0,K9/J9,"")</f>
        <v>0.42783945345858243</v>
      </c>
      <c r="V9" s="43">
        <f>IF(I9=C9-G9-H9,I9,"KT lai")</f>
        <v>1551</v>
      </c>
      <c r="W9" s="87" t="s">
        <v>45</v>
      </c>
      <c r="X9" s="43"/>
    </row>
    <row r="10" spans="1:24" s="60" customFormat="1" ht="13.5" customHeight="1">
      <c r="A10" s="62" t="s">
        <v>46</v>
      </c>
      <c r="B10" s="63" t="s">
        <v>90</v>
      </c>
      <c r="C10" s="64">
        <f t="shared" si="0"/>
        <v>110</v>
      </c>
      <c r="D10" s="64">
        <f>F10+E10</f>
        <v>110</v>
      </c>
      <c r="E10" s="65">
        <f>SUM(E11:E15)</f>
        <v>61</v>
      </c>
      <c r="F10" s="65">
        <f>SUM(F11:F15)</f>
        <v>49</v>
      </c>
      <c r="G10" s="65">
        <f>SUM(G11:G15)</f>
        <v>2</v>
      </c>
      <c r="H10" s="66">
        <f>SUM(H11:H16)</f>
        <v>0</v>
      </c>
      <c r="I10" s="64">
        <f>D10-G10-H10</f>
        <v>108</v>
      </c>
      <c r="J10" s="64">
        <f>L10+M10+N10+P10</f>
        <v>88</v>
      </c>
      <c r="K10" s="64">
        <f>M10+L10</f>
        <v>33</v>
      </c>
      <c r="L10" s="66">
        <f>SUM(L11:L15)</f>
        <v>33</v>
      </c>
      <c r="M10" s="66">
        <f>SUM(M11:M15)</f>
        <v>0</v>
      </c>
      <c r="N10" s="66">
        <f>SUM(N11:N15)</f>
        <v>55</v>
      </c>
      <c r="O10" s="66">
        <f>SUM(O11,O18)</f>
        <v>0</v>
      </c>
      <c r="P10" s="66">
        <f>SUM(P11:P15)</f>
        <v>0</v>
      </c>
      <c r="Q10" s="67">
        <f>I10-J10-R10-S10</f>
        <v>19</v>
      </c>
      <c r="R10" s="64">
        <f>SUM(R11:R16)</f>
        <v>0</v>
      </c>
      <c r="S10" s="66">
        <f>SUM(S11:S15)</f>
        <v>1</v>
      </c>
      <c r="T10" s="65">
        <f aca="true" t="shared" si="3" ref="T10:T48">N10+O10+P10+Q10+R10+S10</f>
        <v>75</v>
      </c>
      <c r="U10" s="68">
        <f t="shared" si="2"/>
        <v>0.375</v>
      </c>
      <c r="V10" s="95">
        <f aca="true" t="shared" si="4" ref="V10:V48">IF(I10=C10-G10-H10,I10,"KT lai")</f>
        <v>108</v>
      </c>
      <c r="W10" s="86">
        <f aca="true" t="shared" si="5" ref="W10:W48">J10+Q10+S10</f>
        <v>108</v>
      </c>
      <c r="X10" s="86">
        <f>V10-W10</f>
        <v>0</v>
      </c>
    </row>
    <row r="11" spans="1:24" s="14" customFormat="1" ht="13.5" customHeight="1">
      <c r="A11" s="15">
        <v>1.1</v>
      </c>
      <c r="B11" s="16" t="s">
        <v>47</v>
      </c>
      <c r="C11" s="49">
        <f t="shared" si="0"/>
        <v>36</v>
      </c>
      <c r="D11" s="12">
        <f aca="true" t="shared" si="6" ref="D11:D48">F11+E11</f>
        <v>36</v>
      </c>
      <c r="E11" s="107">
        <f>'[2]04 Quy'!E11</f>
        <v>24</v>
      </c>
      <c r="F11" s="17">
        <v>12</v>
      </c>
      <c r="G11" s="17">
        <v>0</v>
      </c>
      <c r="H11" s="17">
        <v>0</v>
      </c>
      <c r="I11" s="12">
        <f aca="true" t="shared" si="7" ref="I11:I48">D11-G11-H11</f>
        <v>36</v>
      </c>
      <c r="J11" s="12">
        <f aca="true" t="shared" si="8" ref="J11:J48">L11+M11+N11+P11</f>
        <v>25</v>
      </c>
      <c r="K11" s="12">
        <f aca="true" t="shared" si="9" ref="K11:K48">M11+L11</f>
        <v>10</v>
      </c>
      <c r="L11" s="17">
        <v>10</v>
      </c>
      <c r="M11" s="17">
        <v>0</v>
      </c>
      <c r="N11" s="17">
        <v>15</v>
      </c>
      <c r="O11" s="17">
        <v>0</v>
      </c>
      <c r="P11" s="17">
        <v>0</v>
      </c>
      <c r="Q11" s="107">
        <f>'[2]04 Quy'!Q11</f>
        <v>11</v>
      </c>
      <c r="R11" s="47"/>
      <c r="S11" s="17">
        <v>0</v>
      </c>
      <c r="T11" s="17">
        <f t="shared" si="3"/>
        <v>26</v>
      </c>
      <c r="U11" s="13">
        <f t="shared" si="2"/>
        <v>0.4</v>
      </c>
      <c r="V11" s="43">
        <f t="shared" si="4"/>
        <v>36</v>
      </c>
      <c r="W11" s="87">
        <f t="shared" si="5"/>
        <v>36</v>
      </c>
      <c r="X11" s="86">
        <f aca="true" t="shared" si="10" ref="X11:X48">V11-W11</f>
        <v>0</v>
      </c>
    </row>
    <row r="12" spans="1:24" s="14" customFormat="1" ht="13.5" customHeight="1">
      <c r="A12" s="15">
        <v>1.2</v>
      </c>
      <c r="B12" s="16" t="s">
        <v>48</v>
      </c>
      <c r="C12" s="49">
        <f t="shared" si="0"/>
        <v>21</v>
      </c>
      <c r="D12" s="12">
        <f t="shared" si="6"/>
        <v>21</v>
      </c>
      <c r="E12" s="107">
        <v>13</v>
      </c>
      <c r="F12" s="17">
        <v>8</v>
      </c>
      <c r="G12" s="17">
        <v>0</v>
      </c>
      <c r="H12" s="17">
        <v>0</v>
      </c>
      <c r="I12" s="12">
        <f t="shared" si="7"/>
        <v>21</v>
      </c>
      <c r="J12" s="12">
        <f t="shared" si="8"/>
        <v>19</v>
      </c>
      <c r="K12" s="12">
        <f t="shared" si="9"/>
        <v>7</v>
      </c>
      <c r="L12" s="17">
        <v>7</v>
      </c>
      <c r="M12" s="17">
        <v>0</v>
      </c>
      <c r="N12" s="17">
        <v>12</v>
      </c>
      <c r="O12" s="17">
        <v>0</v>
      </c>
      <c r="P12" s="17">
        <v>0</v>
      </c>
      <c r="Q12" s="107">
        <v>2</v>
      </c>
      <c r="R12" s="47"/>
      <c r="S12" s="17">
        <v>0</v>
      </c>
      <c r="T12" s="17">
        <f t="shared" si="3"/>
        <v>14</v>
      </c>
      <c r="U12" s="13">
        <f t="shared" si="2"/>
        <v>0.3684210526315789</v>
      </c>
      <c r="V12" s="43">
        <f t="shared" si="4"/>
        <v>21</v>
      </c>
      <c r="W12" s="87">
        <f t="shared" si="5"/>
        <v>21</v>
      </c>
      <c r="X12" s="86">
        <f t="shared" si="10"/>
        <v>0</v>
      </c>
    </row>
    <row r="13" spans="1:24" s="14" customFormat="1" ht="13.5" customHeight="1">
      <c r="A13" s="15">
        <v>1.3</v>
      </c>
      <c r="B13" s="16" t="s">
        <v>49</v>
      </c>
      <c r="C13" s="49">
        <f t="shared" si="0"/>
        <v>22</v>
      </c>
      <c r="D13" s="12">
        <f t="shared" si="6"/>
        <v>22</v>
      </c>
      <c r="E13" s="108">
        <v>12</v>
      </c>
      <c r="F13" s="17">
        <v>10</v>
      </c>
      <c r="G13" s="17">
        <v>1</v>
      </c>
      <c r="H13" s="17">
        <v>0</v>
      </c>
      <c r="I13" s="12">
        <f t="shared" si="7"/>
        <v>21</v>
      </c>
      <c r="J13" s="12">
        <f t="shared" si="8"/>
        <v>16</v>
      </c>
      <c r="K13" s="12">
        <f t="shared" si="9"/>
        <v>4</v>
      </c>
      <c r="L13" s="17">
        <v>4</v>
      </c>
      <c r="M13" s="17">
        <v>0</v>
      </c>
      <c r="N13" s="17">
        <v>12</v>
      </c>
      <c r="O13" s="17">
        <v>0</v>
      </c>
      <c r="P13" s="17">
        <v>0</v>
      </c>
      <c r="Q13" s="107">
        <v>4</v>
      </c>
      <c r="R13" s="47"/>
      <c r="S13" s="17">
        <v>1</v>
      </c>
      <c r="T13" s="17">
        <f t="shared" si="3"/>
        <v>17</v>
      </c>
      <c r="U13" s="13">
        <f t="shared" si="2"/>
        <v>0.25</v>
      </c>
      <c r="V13" s="43">
        <f t="shared" si="4"/>
        <v>21</v>
      </c>
      <c r="W13" s="87">
        <f t="shared" si="5"/>
        <v>21</v>
      </c>
      <c r="X13" s="86">
        <f t="shared" si="10"/>
        <v>0</v>
      </c>
    </row>
    <row r="14" spans="1:24" s="14" customFormat="1" ht="13.5" customHeight="1">
      <c r="A14" s="15">
        <v>1.4</v>
      </c>
      <c r="B14" s="16" t="s">
        <v>77</v>
      </c>
      <c r="C14" s="49">
        <f t="shared" si="0"/>
        <v>16</v>
      </c>
      <c r="D14" s="12">
        <f>F14+E14</f>
        <v>16</v>
      </c>
      <c r="E14" s="107">
        <f>'[2]04 Hiep'!E11</f>
        <v>10</v>
      </c>
      <c r="F14" s="17">
        <v>6</v>
      </c>
      <c r="G14" s="17">
        <v>1</v>
      </c>
      <c r="H14" s="17">
        <v>0</v>
      </c>
      <c r="I14" s="12">
        <f>D14-G14-H14</f>
        <v>15</v>
      </c>
      <c r="J14" s="12">
        <f>L14+M14+N14+P14</f>
        <v>15</v>
      </c>
      <c r="K14" s="12">
        <f>M14+L14</f>
        <v>3</v>
      </c>
      <c r="L14" s="17">
        <v>3</v>
      </c>
      <c r="M14" s="17">
        <v>0</v>
      </c>
      <c r="N14" s="17">
        <v>12</v>
      </c>
      <c r="O14" s="17">
        <v>0</v>
      </c>
      <c r="P14" s="17">
        <v>0</v>
      </c>
      <c r="Q14" s="107">
        <f>'[2]04 Hiep'!Q11</f>
        <v>0</v>
      </c>
      <c r="R14" s="47"/>
      <c r="S14" s="17">
        <v>0</v>
      </c>
      <c r="T14" s="17">
        <f>N14+O14+P14+Q14+R14+S14</f>
        <v>12</v>
      </c>
      <c r="U14" s="13">
        <f>IF(J14&lt;&gt;0,K14/J14,"")</f>
        <v>0.2</v>
      </c>
      <c r="V14" s="43">
        <f>IF(I14=C14-G14-H14,I14,"KT lai")</f>
        <v>15</v>
      </c>
      <c r="W14" s="87">
        <f>J14+Q14+S14</f>
        <v>15</v>
      </c>
      <c r="X14" s="86">
        <f t="shared" si="10"/>
        <v>0</v>
      </c>
    </row>
    <row r="15" spans="1:24" s="14" customFormat="1" ht="13.5" customHeight="1">
      <c r="A15" s="15">
        <v>1.5</v>
      </c>
      <c r="B15" s="16" t="s">
        <v>70</v>
      </c>
      <c r="C15" s="49">
        <f t="shared" si="0"/>
        <v>15</v>
      </c>
      <c r="D15" s="12">
        <f>F15+E15</f>
        <v>15</v>
      </c>
      <c r="E15" s="107">
        <f>'[2]04 hoan'!E10</f>
        <v>2</v>
      </c>
      <c r="F15" s="17">
        <v>13</v>
      </c>
      <c r="G15" s="17">
        <v>0</v>
      </c>
      <c r="H15" s="17">
        <v>0</v>
      </c>
      <c r="I15" s="12">
        <f>D15-G15-H15</f>
        <v>15</v>
      </c>
      <c r="J15" s="12">
        <f>L15+M15+N15+P15</f>
        <v>13</v>
      </c>
      <c r="K15" s="12">
        <f>M15+L15</f>
        <v>9</v>
      </c>
      <c r="L15" s="17">
        <v>9</v>
      </c>
      <c r="M15" s="17">
        <v>0</v>
      </c>
      <c r="N15" s="17">
        <v>4</v>
      </c>
      <c r="O15" s="17">
        <v>0</v>
      </c>
      <c r="P15" s="17">
        <v>0</v>
      </c>
      <c r="Q15" s="107">
        <f>'[2]04 hoan'!Q11</f>
        <v>2</v>
      </c>
      <c r="R15" s="47"/>
      <c r="S15" s="17">
        <v>0</v>
      </c>
      <c r="T15" s="17">
        <f>N15+O15+P15+Q15+R15+S15</f>
        <v>6</v>
      </c>
      <c r="U15" s="13">
        <f>IF(J15&lt;&gt;0,K15/J15,"")</f>
        <v>0.6923076923076923</v>
      </c>
      <c r="V15" s="43">
        <f>IF(I15=C15-G15-H15,I15,"KT lai")</f>
        <v>15</v>
      </c>
      <c r="W15" s="87">
        <f>J15+Q15+S15</f>
        <v>15</v>
      </c>
      <c r="X15" s="86">
        <f t="shared" si="10"/>
        <v>0</v>
      </c>
    </row>
    <row r="16" spans="1:24" s="14" customFormat="1" ht="22.5" customHeight="1">
      <c r="A16" s="18" t="s">
        <v>50</v>
      </c>
      <c r="B16" s="19" t="s">
        <v>51</v>
      </c>
      <c r="C16" s="12">
        <f aca="true" t="shared" si="11" ref="C16:C48">D16</f>
        <v>1448</v>
      </c>
      <c r="D16" s="12">
        <f>D17+D22+D27+D32+D38+D43</f>
        <v>1448</v>
      </c>
      <c r="E16" s="102">
        <f>SUM(E17,E22,E27,E32,E38,E43)</f>
        <v>732</v>
      </c>
      <c r="F16" s="48">
        <f>SUM(F17,F22,F27,F32,F38,F43)</f>
        <v>716</v>
      </c>
      <c r="G16" s="48">
        <f>SUM(G17,G22,G27,G32,G38,G43)</f>
        <v>5</v>
      </c>
      <c r="H16" s="48">
        <f>SUM(H17,H22,H27,H32,H38,H43)</f>
        <v>0</v>
      </c>
      <c r="I16" s="12">
        <f t="shared" si="7"/>
        <v>1443</v>
      </c>
      <c r="J16" s="12">
        <f t="shared" si="8"/>
        <v>1083</v>
      </c>
      <c r="K16" s="12">
        <f t="shared" si="9"/>
        <v>468</v>
      </c>
      <c r="L16" s="48">
        <f>SUM(L17,L22,L27,L32,L38,L43)</f>
        <v>450</v>
      </c>
      <c r="M16" s="48">
        <f>SUM(M17,M22,M27,M32,M38,M43)</f>
        <v>18</v>
      </c>
      <c r="N16" s="48">
        <f>SUM(N17,N22,N27,N32,N38,N43)</f>
        <v>611</v>
      </c>
      <c r="O16" s="48">
        <f>SUM(O17,O22,O27,O32,O38,O43)</f>
        <v>0</v>
      </c>
      <c r="P16" s="48">
        <f>SUM(P17,P22,P27,P32,P38,P43)</f>
        <v>4</v>
      </c>
      <c r="Q16" s="73">
        <f>I16-J16-R16-S16</f>
        <v>354</v>
      </c>
      <c r="R16" s="46">
        <f>R17+R22+R27+R32+R38+R43</f>
        <v>0</v>
      </c>
      <c r="S16" s="48">
        <f>SUM(S17,S22,S27,S32,S38,S43)</f>
        <v>6</v>
      </c>
      <c r="T16" s="12">
        <f>T17+T22+T27+T32+T38+T43</f>
        <v>975</v>
      </c>
      <c r="U16" s="13">
        <f t="shared" si="2"/>
        <v>0.43213296398891965</v>
      </c>
      <c r="V16" s="43">
        <f t="shared" si="4"/>
        <v>1443</v>
      </c>
      <c r="W16" s="87">
        <f t="shared" si="5"/>
        <v>1443</v>
      </c>
      <c r="X16" s="86">
        <f t="shared" si="10"/>
        <v>0</v>
      </c>
    </row>
    <row r="17" spans="1:24" s="60" customFormat="1" ht="27.75" customHeight="1">
      <c r="A17" s="69">
        <v>1</v>
      </c>
      <c r="B17" s="63" t="s">
        <v>52</v>
      </c>
      <c r="C17" s="64">
        <f t="shared" si="11"/>
        <v>275</v>
      </c>
      <c r="D17" s="64">
        <f t="shared" si="6"/>
        <v>275</v>
      </c>
      <c r="E17" s="66">
        <f>SUM(E18:E21)</f>
        <v>149</v>
      </c>
      <c r="F17" s="48">
        <f>SUM(F18:F21)</f>
        <v>126</v>
      </c>
      <c r="G17" s="48">
        <f>SUM(G18:G21)</f>
        <v>2</v>
      </c>
      <c r="H17" s="48">
        <f>SUM(H18:H21)</f>
        <v>0</v>
      </c>
      <c r="I17" s="64">
        <f t="shared" si="7"/>
        <v>273</v>
      </c>
      <c r="J17" s="64">
        <f t="shared" si="8"/>
        <v>190</v>
      </c>
      <c r="K17" s="64">
        <f t="shared" si="9"/>
        <v>106</v>
      </c>
      <c r="L17" s="48">
        <f>SUM(L18:L21)</f>
        <v>106</v>
      </c>
      <c r="M17" s="48">
        <f>SUM(M18:M21)</f>
        <v>0</v>
      </c>
      <c r="N17" s="48">
        <f>SUM(N18:N21)</f>
        <v>81</v>
      </c>
      <c r="O17" s="48">
        <f>SUM(O18:O21)</f>
        <v>0</v>
      </c>
      <c r="P17" s="66">
        <f>SUM(P18:P21)</f>
        <v>3</v>
      </c>
      <c r="Q17" s="67">
        <f>I17-J17-R17-S17</f>
        <v>83</v>
      </c>
      <c r="R17" s="70"/>
      <c r="S17" s="66">
        <f>SUM(S18:S21)</f>
        <v>0</v>
      </c>
      <c r="T17" s="66">
        <f t="shared" si="3"/>
        <v>167</v>
      </c>
      <c r="U17" s="68">
        <f t="shared" si="2"/>
        <v>0.5578947368421052</v>
      </c>
      <c r="V17" s="95">
        <f t="shared" si="4"/>
        <v>273</v>
      </c>
      <c r="W17" s="86">
        <f t="shared" si="5"/>
        <v>273</v>
      </c>
      <c r="X17" s="86">
        <f t="shared" si="10"/>
        <v>0</v>
      </c>
    </row>
    <row r="18" spans="1:24" s="14" customFormat="1" ht="17.25" customHeight="1">
      <c r="A18" s="15">
        <v>1.1</v>
      </c>
      <c r="B18" s="16" t="s">
        <v>53</v>
      </c>
      <c r="C18" s="12">
        <f t="shared" si="11"/>
        <v>70</v>
      </c>
      <c r="D18" s="12">
        <f t="shared" si="6"/>
        <v>70</v>
      </c>
      <c r="E18" s="108">
        <v>37</v>
      </c>
      <c r="F18" s="17">
        <v>33</v>
      </c>
      <c r="G18" s="17">
        <v>0</v>
      </c>
      <c r="H18" s="17">
        <v>0</v>
      </c>
      <c r="I18" s="12">
        <f t="shared" si="7"/>
        <v>70</v>
      </c>
      <c r="J18" s="12">
        <f t="shared" si="8"/>
        <v>53</v>
      </c>
      <c r="K18" s="12">
        <f t="shared" si="9"/>
        <v>25</v>
      </c>
      <c r="L18" s="17">
        <v>25</v>
      </c>
      <c r="M18" s="17">
        <v>0</v>
      </c>
      <c r="N18" s="17">
        <v>26</v>
      </c>
      <c r="O18" s="17">
        <v>0</v>
      </c>
      <c r="P18" s="17">
        <v>2</v>
      </c>
      <c r="Q18" s="107">
        <v>17</v>
      </c>
      <c r="R18" s="47"/>
      <c r="S18" s="17">
        <v>0</v>
      </c>
      <c r="T18" s="48">
        <f t="shared" si="3"/>
        <v>45</v>
      </c>
      <c r="U18" s="13">
        <f t="shared" si="2"/>
        <v>0.4716981132075472</v>
      </c>
      <c r="V18" s="43">
        <f t="shared" si="4"/>
        <v>70</v>
      </c>
      <c r="W18" s="87">
        <f t="shared" si="5"/>
        <v>70</v>
      </c>
      <c r="X18" s="86">
        <f t="shared" si="10"/>
        <v>0</v>
      </c>
    </row>
    <row r="19" spans="1:24" s="14" customFormat="1" ht="13.5" customHeight="1">
      <c r="A19" s="15">
        <v>1.2</v>
      </c>
      <c r="B19" s="16" t="s">
        <v>54</v>
      </c>
      <c r="C19" s="12">
        <f t="shared" si="11"/>
        <v>73</v>
      </c>
      <c r="D19" s="12">
        <f t="shared" si="6"/>
        <v>73</v>
      </c>
      <c r="E19" s="108">
        <v>53</v>
      </c>
      <c r="F19" s="17">
        <v>20</v>
      </c>
      <c r="G19" s="17">
        <v>2</v>
      </c>
      <c r="H19" s="17">
        <v>0</v>
      </c>
      <c r="I19" s="12">
        <f t="shared" si="7"/>
        <v>71</v>
      </c>
      <c r="J19" s="12">
        <f t="shared" si="8"/>
        <v>34</v>
      </c>
      <c r="K19" s="12">
        <f t="shared" si="9"/>
        <v>15</v>
      </c>
      <c r="L19" s="17">
        <v>15</v>
      </c>
      <c r="M19" s="17">
        <v>0</v>
      </c>
      <c r="N19" s="17">
        <v>19</v>
      </c>
      <c r="O19" s="17">
        <v>0</v>
      </c>
      <c r="P19" s="17">
        <v>0</v>
      </c>
      <c r="Q19" s="107">
        <v>37</v>
      </c>
      <c r="R19" s="47"/>
      <c r="S19" s="17">
        <v>0</v>
      </c>
      <c r="T19" s="17">
        <f t="shared" si="3"/>
        <v>56</v>
      </c>
      <c r="U19" s="13">
        <f t="shared" si="2"/>
        <v>0.4411764705882353</v>
      </c>
      <c r="V19" s="43">
        <f t="shared" si="4"/>
        <v>71</v>
      </c>
      <c r="W19" s="87">
        <f t="shared" si="5"/>
        <v>71</v>
      </c>
      <c r="X19" s="86">
        <f t="shared" si="10"/>
        <v>0</v>
      </c>
    </row>
    <row r="20" spans="1:24" s="14" customFormat="1" ht="13.5" customHeight="1">
      <c r="A20" s="15">
        <v>1.3</v>
      </c>
      <c r="B20" s="16" t="s">
        <v>55</v>
      </c>
      <c r="C20" s="12">
        <f t="shared" si="11"/>
        <v>93</v>
      </c>
      <c r="D20" s="12">
        <f t="shared" si="6"/>
        <v>93</v>
      </c>
      <c r="E20" s="108">
        <v>44</v>
      </c>
      <c r="F20" s="17">
        <v>49</v>
      </c>
      <c r="G20" s="17">
        <v>0</v>
      </c>
      <c r="H20" s="17">
        <v>0</v>
      </c>
      <c r="I20" s="12">
        <f t="shared" si="7"/>
        <v>93</v>
      </c>
      <c r="J20" s="12">
        <f t="shared" si="8"/>
        <v>72</v>
      </c>
      <c r="K20" s="12">
        <f t="shared" si="9"/>
        <v>43</v>
      </c>
      <c r="L20" s="17">
        <v>43</v>
      </c>
      <c r="M20" s="17">
        <v>0</v>
      </c>
      <c r="N20" s="17">
        <v>28</v>
      </c>
      <c r="O20" s="17">
        <v>0</v>
      </c>
      <c r="P20" s="17">
        <v>1</v>
      </c>
      <c r="Q20" s="107">
        <v>21</v>
      </c>
      <c r="R20" s="47"/>
      <c r="S20" s="17">
        <v>0</v>
      </c>
      <c r="T20" s="17">
        <f t="shared" si="3"/>
        <v>50</v>
      </c>
      <c r="U20" s="13">
        <f t="shared" si="2"/>
        <v>0.5972222222222222</v>
      </c>
      <c r="V20" s="43">
        <f t="shared" si="4"/>
        <v>93</v>
      </c>
      <c r="W20" s="87">
        <f t="shared" si="5"/>
        <v>93</v>
      </c>
      <c r="X20" s="86">
        <f t="shared" si="10"/>
        <v>0</v>
      </c>
    </row>
    <row r="21" spans="1:24" s="14" customFormat="1" ht="13.5" customHeight="1">
      <c r="A21" s="15">
        <v>1.4</v>
      </c>
      <c r="B21" s="16" t="s">
        <v>56</v>
      </c>
      <c r="C21" s="12">
        <f t="shared" si="11"/>
        <v>39</v>
      </c>
      <c r="D21" s="12">
        <f t="shared" si="6"/>
        <v>39</v>
      </c>
      <c r="E21" s="108">
        <v>15</v>
      </c>
      <c r="F21" s="17">
        <v>24</v>
      </c>
      <c r="G21" s="17">
        <v>0</v>
      </c>
      <c r="H21" s="17">
        <v>0</v>
      </c>
      <c r="I21" s="12">
        <f t="shared" si="7"/>
        <v>39</v>
      </c>
      <c r="J21" s="12">
        <f t="shared" si="8"/>
        <v>31</v>
      </c>
      <c r="K21" s="12">
        <f t="shared" si="9"/>
        <v>23</v>
      </c>
      <c r="L21" s="17">
        <v>23</v>
      </c>
      <c r="M21" s="17">
        <v>0</v>
      </c>
      <c r="N21" s="17">
        <v>8</v>
      </c>
      <c r="O21" s="17">
        <v>0</v>
      </c>
      <c r="P21" s="17">
        <v>0</v>
      </c>
      <c r="Q21" s="107">
        <v>8</v>
      </c>
      <c r="R21" s="47"/>
      <c r="S21" s="17">
        <v>0</v>
      </c>
      <c r="T21" s="17">
        <f t="shared" si="3"/>
        <v>16</v>
      </c>
      <c r="U21" s="13">
        <f t="shared" si="2"/>
        <v>0.7419354838709677</v>
      </c>
      <c r="V21" s="43">
        <f t="shared" si="4"/>
        <v>39</v>
      </c>
      <c r="W21" s="87">
        <f t="shared" si="5"/>
        <v>39</v>
      </c>
      <c r="X21" s="86">
        <f t="shared" si="10"/>
        <v>0</v>
      </c>
    </row>
    <row r="22" spans="1:24" s="60" customFormat="1" ht="28.5" customHeight="1">
      <c r="A22" s="69">
        <v>2</v>
      </c>
      <c r="B22" s="63" t="s">
        <v>57</v>
      </c>
      <c r="C22" s="64">
        <f t="shared" si="11"/>
        <v>163</v>
      </c>
      <c r="D22" s="64">
        <f t="shared" si="6"/>
        <v>163</v>
      </c>
      <c r="E22" s="66">
        <f>SUM(E23:E26)</f>
        <v>65</v>
      </c>
      <c r="F22" s="48">
        <f>SUM(F23:F26)</f>
        <v>98</v>
      </c>
      <c r="G22" s="48">
        <f>SUM(G23:G26)</f>
        <v>0</v>
      </c>
      <c r="H22" s="48">
        <f>SUM(H23:H26)</f>
        <v>0</v>
      </c>
      <c r="I22" s="64">
        <f t="shared" si="7"/>
        <v>163</v>
      </c>
      <c r="J22" s="64">
        <f t="shared" si="8"/>
        <v>143</v>
      </c>
      <c r="K22" s="64">
        <f t="shared" si="9"/>
        <v>73</v>
      </c>
      <c r="L22" s="48">
        <f>SUM(L23:L26)</f>
        <v>73</v>
      </c>
      <c r="M22" s="48">
        <f>SUM(M23:M26)</f>
        <v>0</v>
      </c>
      <c r="N22" s="48">
        <f>SUM(N23:N26)</f>
        <v>70</v>
      </c>
      <c r="O22" s="48">
        <f>SUM(O23:O26)</f>
        <v>0</v>
      </c>
      <c r="P22" s="66">
        <f>SUM(P23:P26)</f>
        <v>0</v>
      </c>
      <c r="Q22" s="67">
        <f>I22-J22-R22-S22</f>
        <v>20</v>
      </c>
      <c r="R22" s="70"/>
      <c r="S22" s="66">
        <f>SUM(S23:S26)</f>
        <v>0</v>
      </c>
      <c r="T22" s="67">
        <f t="shared" si="3"/>
        <v>90</v>
      </c>
      <c r="U22" s="68">
        <f t="shared" si="2"/>
        <v>0.5104895104895105</v>
      </c>
      <c r="V22" s="95">
        <f t="shared" si="4"/>
        <v>163</v>
      </c>
      <c r="W22" s="86">
        <f t="shared" si="5"/>
        <v>163</v>
      </c>
      <c r="X22" s="86">
        <f t="shared" si="10"/>
        <v>0</v>
      </c>
    </row>
    <row r="23" spans="1:24" s="14" customFormat="1" ht="18" customHeight="1">
      <c r="A23" s="15">
        <v>2.1</v>
      </c>
      <c r="B23" s="16" t="s">
        <v>59</v>
      </c>
      <c r="C23" s="12">
        <f t="shared" si="11"/>
        <v>75</v>
      </c>
      <c r="D23" s="12">
        <f t="shared" si="6"/>
        <v>75</v>
      </c>
      <c r="E23" s="107">
        <v>23</v>
      </c>
      <c r="F23" s="17">
        <v>52</v>
      </c>
      <c r="G23" s="17">
        <v>0</v>
      </c>
      <c r="H23" s="17">
        <v>0</v>
      </c>
      <c r="I23" s="12">
        <f t="shared" si="7"/>
        <v>75</v>
      </c>
      <c r="J23" s="12">
        <f t="shared" si="8"/>
        <v>72</v>
      </c>
      <c r="K23" s="12">
        <f t="shared" si="9"/>
        <v>37</v>
      </c>
      <c r="L23" s="17">
        <v>37</v>
      </c>
      <c r="M23" s="17">
        <v>0</v>
      </c>
      <c r="N23" s="17">
        <v>35</v>
      </c>
      <c r="O23" s="17">
        <v>0</v>
      </c>
      <c r="P23" s="17">
        <v>0</v>
      </c>
      <c r="Q23" s="112">
        <v>3</v>
      </c>
      <c r="R23" s="47"/>
      <c r="S23" s="17">
        <v>0</v>
      </c>
      <c r="T23" s="48">
        <f t="shared" si="3"/>
        <v>38</v>
      </c>
      <c r="U23" s="13">
        <f t="shared" si="2"/>
        <v>0.5138888888888888</v>
      </c>
      <c r="V23" s="43">
        <f t="shared" si="4"/>
        <v>75</v>
      </c>
      <c r="W23" s="87">
        <f t="shared" si="5"/>
        <v>75</v>
      </c>
      <c r="X23" s="86">
        <f t="shared" si="10"/>
        <v>0</v>
      </c>
    </row>
    <row r="24" spans="1:24" s="14" customFormat="1" ht="13.5" customHeight="1">
      <c r="A24" s="15">
        <v>2.2</v>
      </c>
      <c r="B24" s="16" t="s">
        <v>60</v>
      </c>
      <c r="C24" s="12">
        <f t="shared" si="11"/>
        <v>41</v>
      </c>
      <c r="D24" s="12">
        <f t="shared" si="6"/>
        <v>41</v>
      </c>
      <c r="E24" s="107">
        <v>19</v>
      </c>
      <c r="F24" s="17">
        <v>22</v>
      </c>
      <c r="G24" s="17">
        <v>0</v>
      </c>
      <c r="H24" s="17">
        <v>0</v>
      </c>
      <c r="I24" s="12">
        <f t="shared" si="7"/>
        <v>41</v>
      </c>
      <c r="J24" s="12">
        <f t="shared" si="8"/>
        <v>36</v>
      </c>
      <c r="K24" s="12">
        <f t="shared" si="9"/>
        <v>20</v>
      </c>
      <c r="L24" s="17">
        <v>20</v>
      </c>
      <c r="M24" s="17">
        <v>0</v>
      </c>
      <c r="N24" s="17">
        <v>16</v>
      </c>
      <c r="O24" s="17">
        <v>0</v>
      </c>
      <c r="P24" s="17">
        <v>0</v>
      </c>
      <c r="Q24" s="112">
        <v>5</v>
      </c>
      <c r="R24" s="47"/>
      <c r="S24" s="17">
        <v>0</v>
      </c>
      <c r="T24" s="17">
        <f t="shared" si="3"/>
        <v>21</v>
      </c>
      <c r="U24" s="13">
        <f t="shared" si="2"/>
        <v>0.5555555555555556</v>
      </c>
      <c r="V24" s="43">
        <f t="shared" si="4"/>
        <v>41</v>
      </c>
      <c r="W24" s="87">
        <f t="shared" si="5"/>
        <v>41</v>
      </c>
      <c r="X24" s="86">
        <f t="shared" si="10"/>
        <v>0</v>
      </c>
    </row>
    <row r="25" spans="1:24" s="14" customFormat="1" ht="13.5" customHeight="1">
      <c r="A25" s="15">
        <v>2.3</v>
      </c>
      <c r="B25" s="16" t="s">
        <v>61</v>
      </c>
      <c r="C25" s="12">
        <f t="shared" si="11"/>
        <v>41</v>
      </c>
      <c r="D25" s="12">
        <f t="shared" si="6"/>
        <v>41</v>
      </c>
      <c r="E25" s="107">
        <v>23</v>
      </c>
      <c r="F25" s="17">
        <v>18</v>
      </c>
      <c r="G25" s="17">
        <v>0</v>
      </c>
      <c r="H25" s="17">
        <v>0</v>
      </c>
      <c r="I25" s="12">
        <f t="shared" si="7"/>
        <v>41</v>
      </c>
      <c r="J25" s="12">
        <f t="shared" si="8"/>
        <v>29</v>
      </c>
      <c r="K25" s="12">
        <f t="shared" si="9"/>
        <v>10</v>
      </c>
      <c r="L25" s="17">
        <v>10</v>
      </c>
      <c r="M25" s="17">
        <v>0</v>
      </c>
      <c r="N25" s="17">
        <v>19</v>
      </c>
      <c r="O25" s="17">
        <v>0</v>
      </c>
      <c r="P25" s="17">
        <v>0</v>
      </c>
      <c r="Q25" s="112">
        <v>12</v>
      </c>
      <c r="R25" s="47"/>
      <c r="S25" s="17">
        <v>0</v>
      </c>
      <c r="T25" s="17">
        <f t="shared" si="3"/>
        <v>31</v>
      </c>
      <c r="U25" s="13">
        <f t="shared" si="2"/>
        <v>0.3448275862068966</v>
      </c>
      <c r="V25" s="43">
        <f t="shared" si="4"/>
        <v>41</v>
      </c>
      <c r="W25" s="87">
        <f t="shared" si="5"/>
        <v>41</v>
      </c>
      <c r="X25" s="86">
        <f t="shared" si="10"/>
        <v>0</v>
      </c>
    </row>
    <row r="26" spans="1:24" s="14" customFormat="1" ht="13.5" customHeight="1">
      <c r="A26" s="15">
        <v>2.4</v>
      </c>
      <c r="B26" s="16" t="s">
        <v>81</v>
      </c>
      <c r="C26" s="12">
        <f t="shared" si="11"/>
        <v>6</v>
      </c>
      <c r="D26" s="12">
        <f t="shared" si="6"/>
        <v>6</v>
      </c>
      <c r="E26" s="107">
        <v>0</v>
      </c>
      <c r="F26" s="17">
        <v>6</v>
      </c>
      <c r="G26" s="17">
        <v>0</v>
      </c>
      <c r="H26" s="17">
        <v>0</v>
      </c>
      <c r="I26" s="12">
        <f t="shared" si="7"/>
        <v>6</v>
      </c>
      <c r="J26" s="12">
        <f t="shared" si="8"/>
        <v>6</v>
      </c>
      <c r="K26" s="12">
        <f t="shared" si="9"/>
        <v>6</v>
      </c>
      <c r="L26" s="17">
        <v>6</v>
      </c>
      <c r="M26" s="17">
        <v>0</v>
      </c>
      <c r="N26" s="17">
        <v>0</v>
      </c>
      <c r="O26" s="17">
        <v>0</v>
      </c>
      <c r="P26" s="17">
        <v>0</v>
      </c>
      <c r="Q26" s="112"/>
      <c r="R26" s="47"/>
      <c r="S26" s="17">
        <v>0</v>
      </c>
      <c r="T26" s="17">
        <f t="shared" si="3"/>
        <v>0</v>
      </c>
      <c r="U26" s="13">
        <f t="shared" si="2"/>
        <v>1</v>
      </c>
      <c r="V26" s="43">
        <f t="shared" si="4"/>
        <v>6</v>
      </c>
      <c r="W26" s="87">
        <f t="shared" si="5"/>
        <v>6</v>
      </c>
      <c r="X26" s="86">
        <f t="shared" si="10"/>
        <v>0</v>
      </c>
    </row>
    <row r="27" spans="1:24" s="60" customFormat="1" ht="24.75" customHeight="1">
      <c r="A27" s="69">
        <v>3</v>
      </c>
      <c r="B27" s="63" t="s">
        <v>62</v>
      </c>
      <c r="C27" s="64">
        <f t="shared" si="11"/>
        <v>165</v>
      </c>
      <c r="D27" s="64">
        <f t="shared" si="6"/>
        <v>165</v>
      </c>
      <c r="E27" s="66">
        <f>SUM(E28:E31)</f>
        <v>75</v>
      </c>
      <c r="F27" s="48">
        <f>SUM(F28:F31)</f>
        <v>90</v>
      </c>
      <c r="G27" s="48">
        <f>SUM(G28:G31)</f>
        <v>3</v>
      </c>
      <c r="H27" s="48">
        <f>SUM(H28:H31)</f>
        <v>0</v>
      </c>
      <c r="I27" s="64">
        <f t="shared" si="7"/>
        <v>162</v>
      </c>
      <c r="J27" s="64">
        <f t="shared" si="8"/>
        <v>135</v>
      </c>
      <c r="K27" s="64">
        <f t="shared" si="9"/>
        <v>46</v>
      </c>
      <c r="L27" s="48">
        <f>SUM(L28:L31)</f>
        <v>46</v>
      </c>
      <c r="M27" s="48">
        <f>SUM(M28:M31)</f>
        <v>0</v>
      </c>
      <c r="N27" s="48">
        <f>SUM(N28:N31)</f>
        <v>89</v>
      </c>
      <c r="O27" s="48">
        <f>SUM(O28:O31)</f>
        <v>0</v>
      </c>
      <c r="P27" s="66">
        <f>SUM(P28:P31)</f>
        <v>0</v>
      </c>
      <c r="Q27" s="67">
        <f>I27-J27-R27-S27</f>
        <v>25</v>
      </c>
      <c r="R27" s="70"/>
      <c r="S27" s="66">
        <f>SUM(S28:S31)</f>
        <v>2</v>
      </c>
      <c r="T27" s="67">
        <f t="shared" si="3"/>
        <v>116</v>
      </c>
      <c r="U27" s="68">
        <f t="shared" si="2"/>
        <v>0.34074074074074073</v>
      </c>
      <c r="V27" s="95">
        <f t="shared" si="4"/>
        <v>162</v>
      </c>
      <c r="W27" s="86">
        <f t="shared" si="5"/>
        <v>162</v>
      </c>
      <c r="X27" s="86">
        <f t="shared" si="10"/>
        <v>0</v>
      </c>
    </row>
    <row r="28" spans="1:24" s="14" customFormat="1" ht="21.75" customHeight="1">
      <c r="A28" s="15">
        <v>3.1</v>
      </c>
      <c r="B28" s="16" t="s">
        <v>63</v>
      </c>
      <c r="C28" s="12">
        <f t="shared" si="11"/>
        <v>22</v>
      </c>
      <c r="D28" s="12">
        <f t="shared" si="6"/>
        <v>22</v>
      </c>
      <c r="E28" s="107">
        <v>13</v>
      </c>
      <c r="F28" s="17">
        <v>9</v>
      </c>
      <c r="G28" s="17">
        <v>0</v>
      </c>
      <c r="H28" s="17">
        <v>0</v>
      </c>
      <c r="I28" s="12">
        <f t="shared" si="7"/>
        <v>22</v>
      </c>
      <c r="J28" s="12">
        <f t="shared" si="8"/>
        <v>16</v>
      </c>
      <c r="K28" s="12">
        <f t="shared" si="9"/>
        <v>5</v>
      </c>
      <c r="L28" s="17">
        <v>5</v>
      </c>
      <c r="M28" s="17">
        <v>0</v>
      </c>
      <c r="N28" s="17">
        <v>11</v>
      </c>
      <c r="O28" s="17">
        <v>0</v>
      </c>
      <c r="P28" s="17">
        <v>0</v>
      </c>
      <c r="Q28" s="112">
        <v>6</v>
      </c>
      <c r="R28" s="47"/>
      <c r="S28" s="17">
        <v>0</v>
      </c>
      <c r="T28" s="48">
        <f t="shared" si="3"/>
        <v>17</v>
      </c>
      <c r="U28" s="13">
        <f t="shared" si="2"/>
        <v>0.3125</v>
      </c>
      <c r="V28" s="43">
        <f t="shared" si="4"/>
        <v>22</v>
      </c>
      <c r="W28" s="87">
        <f t="shared" si="5"/>
        <v>22</v>
      </c>
      <c r="X28" s="86">
        <f t="shared" si="10"/>
        <v>0</v>
      </c>
    </row>
    <row r="29" spans="1:24" s="14" customFormat="1" ht="13.5" customHeight="1">
      <c r="A29" s="15">
        <v>3.2</v>
      </c>
      <c r="B29" s="16" t="s">
        <v>64</v>
      </c>
      <c r="C29" s="12">
        <f t="shared" si="11"/>
        <v>67</v>
      </c>
      <c r="D29" s="12">
        <f t="shared" si="6"/>
        <v>67</v>
      </c>
      <c r="E29" s="107">
        <v>32</v>
      </c>
      <c r="F29" s="17">
        <v>35</v>
      </c>
      <c r="G29" s="17">
        <v>1</v>
      </c>
      <c r="H29" s="17">
        <v>0</v>
      </c>
      <c r="I29" s="12">
        <f t="shared" si="7"/>
        <v>66</v>
      </c>
      <c r="J29" s="12">
        <f t="shared" si="8"/>
        <v>50</v>
      </c>
      <c r="K29" s="12">
        <f t="shared" si="9"/>
        <v>22</v>
      </c>
      <c r="L29" s="17">
        <v>22</v>
      </c>
      <c r="M29" s="17">
        <v>0</v>
      </c>
      <c r="N29" s="17">
        <v>28</v>
      </c>
      <c r="O29" s="17">
        <v>0</v>
      </c>
      <c r="P29" s="17">
        <v>0</v>
      </c>
      <c r="Q29" s="112">
        <v>14</v>
      </c>
      <c r="R29" s="47"/>
      <c r="S29" s="17">
        <v>2</v>
      </c>
      <c r="T29" s="17">
        <f t="shared" si="3"/>
        <v>44</v>
      </c>
      <c r="U29" s="13">
        <f t="shared" si="2"/>
        <v>0.44</v>
      </c>
      <c r="V29" s="43">
        <f t="shared" si="4"/>
        <v>66</v>
      </c>
      <c r="W29" s="87">
        <f t="shared" si="5"/>
        <v>66</v>
      </c>
      <c r="X29" s="86">
        <f t="shared" si="10"/>
        <v>0</v>
      </c>
    </row>
    <row r="30" spans="1:24" s="14" customFormat="1" ht="13.5" customHeight="1">
      <c r="A30" s="15">
        <v>3.3</v>
      </c>
      <c r="B30" s="16" t="s">
        <v>65</v>
      </c>
      <c r="C30" s="12">
        <f t="shared" si="11"/>
        <v>51</v>
      </c>
      <c r="D30" s="12">
        <f t="shared" si="6"/>
        <v>51</v>
      </c>
      <c r="E30" s="107">
        <v>22</v>
      </c>
      <c r="F30" s="17">
        <v>29</v>
      </c>
      <c r="G30" s="17">
        <v>2</v>
      </c>
      <c r="H30" s="17">
        <v>0</v>
      </c>
      <c r="I30" s="12">
        <f t="shared" si="7"/>
        <v>49</v>
      </c>
      <c r="J30" s="12">
        <f t="shared" si="8"/>
        <v>44</v>
      </c>
      <c r="K30" s="12">
        <f t="shared" si="9"/>
        <v>15</v>
      </c>
      <c r="L30" s="17">
        <v>15</v>
      </c>
      <c r="M30" s="17">
        <v>0</v>
      </c>
      <c r="N30" s="17">
        <v>29</v>
      </c>
      <c r="O30" s="17">
        <v>0</v>
      </c>
      <c r="P30" s="17">
        <v>0</v>
      </c>
      <c r="Q30" s="112">
        <v>5</v>
      </c>
      <c r="R30" s="47"/>
      <c r="S30" s="17">
        <v>0</v>
      </c>
      <c r="T30" s="17">
        <f t="shared" si="3"/>
        <v>34</v>
      </c>
      <c r="U30" s="13">
        <f t="shared" si="2"/>
        <v>0.3409090909090909</v>
      </c>
      <c r="V30" s="43">
        <f t="shared" si="4"/>
        <v>49</v>
      </c>
      <c r="W30" s="87">
        <f t="shared" si="5"/>
        <v>49</v>
      </c>
      <c r="X30" s="86">
        <f t="shared" si="10"/>
        <v>0</v>
      </c>
    </row>
    <row r="31" spans="1:24" s="14" customFormat="1" ht="13.5" customHeight="1">
      <c r="A31" s="15">
        <v>3.4</v>
      </c>
      <c r="B31" s="16" t="s">
        <v>66</v>
      </c>
      <c r="C31" s="12">
        <f t="shared" si="11"/>
        <v>25</v>
      </c>
      <c r="D31" s="12">
        <f t="shared" si="6"/>
        <v>25</v>
      </c>
      <c r="E31" s="107">
        <v>8</v>
      </c>
      <c r="F31" s="17">
        <v>17</v>
      </c>
      <c r="G31" s="17">
        <v>0</v>
      </c>
      <c r="H31" s="17">
        <v>0</v>
      </c>
      <c r="I31" s="12">
        <f t="shared" si="7"/>
        <v>25</v>
      </c>
      <c r="J31" s="12">
        <f t="shared" si="8"/>
        <v>25</v>
      </c>
      <c r="K31" s="12">
        <f t="shared" si="9"/>
        <v>4</v>
      </c>
      <c r="L31" s="17">
        <v>4</v>
      </c>
      <c r="M31" s="17">
        <v>0</v>
      </c>
      <c r="N31" s="17">
        <v>21</v>
      </c>
      <c r="O31" s="17">
        <v>0</v>
      </c>
      <c r="P31" s="17">
        <v>0</v>
      </c>
      <c r="Q31" s="112"/>
      <c r="R31" s="47"/>
      <c r="S31" s="17">
        <v>0</v>
      </c>
      <c r="T31" s="17">
        <f t="shared" si="3"/>
        <v>21</v>
      </c>
      <c r="U31" s="13">
        <f t="shared" si="2"/>
        <v>0.16</v>
      </c>
      <c r="V31" s="43">
        <f t="shared" si="4"/>
        <v>25</v>
      </c>
      <c r="W31" s="87">
        <f t="shared" si="5"/>
        <v>25</v>
      </c>
      <c r="X31" s="86">
        <f t="shared" si="10"/>
        <v>0</v>
      </c>
    </row>
    <row r="32" spans="1:24" s="60" customFormat="1" ht="22.5" customHeight="1">
      <c r="A32" s="69">
        <v>4</v>
      </c>
      <c r="B32" s="63" t="s">
        <v>67</v>
      </c>
      <c r="C32" s="64">
        <f t="shared" si="11"/>
        <v>137</v>
      </c>
      <c r="D32" s="64">
        <f t="shared" si="6"/>
        <v>137</v>
      </c>
      <c r="E32" s="66">
        <f>SUM(E33:E37)</f>
        <v>51</v>
      </c>
      <c r="F32" s="48">
        <f>SUM(F33:F37)</f>
        <v>86</v>
      </c>
      <c r="G32" s="48">
        <f>SUM(G33:G37)</f>
        <v>0</v>
      </c>
      <c r="H32" s="48">
        <f>SUM(H33:H37)</f>
        <v>0</v>
      </c>
      <c r="I32" s="64">
        <f t="shared" si="7"/>
        <v>137</v>
      </c>
      <c r="J32" s="64">
        <f t="shared" si="8"/>
        <v>113</v>
      </c>
      <c r="K32" s="64">
        <f t="shared" si="9"/>
        <v>59</v>
      </c>
      <c r="L32" s="48">
        <f>SUM(L33:L37)</f>
        <v>59</v>
      </c>
      <c r="M32" s="48">
        <f>SUM(M33:M37)</f>
        <v>0</v>
      </c>
      <c r="N32" s="48">
        <f>SUM(N33:N37)</f>
        <v>53</v>
      </c>
      <c r="O32" s="48">
        <f>SUM(O33:O37)</f>
        <v>0</v>
      </c>
      <c r="P32" s="66">
        <f>SUM(P33:P37)</f>
        <v>1</v>
      </c>
      <c r="Q32" s="67">
        <f>I32-J32-R32-S32</f>
        <v>20</v>
      </c>
      <c r="R32" s="70"/>
      <c r="S32" s="66">
        <f>SUM(S33:S37)</f>
        <v>4</v>
      </c>
      <c r="T32" s="67">
        <f t="shared" si="3"/>
        <v>78</v>
      </c>
      <c r="U32" s="68">
        <f t="shared" si="2"/>
        <v>0.5221238938053098</v>
      </c>
      <c r="V32" s="95">
        <f t="shared" si="4"/>
        <v>137</v>
      </c>
      <c r="W32" s="86">
        <f t="shared" si="5"/>
        <v>137</v>
      </c>
      <c r="X32" s="86">
        <f t="shared" si="10"/>
        <v>0</v>
      </c>
    </row>
    <row r="33" spans="1:24" s="14" customFormat="1" ht="13.5" customHeight="1">
      <c r="A33" s="15">
        <v>4.1</v>
      </c>
      <c r="B33" s="16" t="s">
        <v>69</v>
      </c>
      <c r="C33" s="12">
        <f t="shared" si="11"/>
        <v>42</v>
      </c>
      <c r="D33" s="12">
        <f t="shared" si="6"/>
        <v>42</v>
      </c>
      <c r="E33" s="114">
        <v>19</v>
      </c>
      <c r="F33" s="17">
        <v>23</v>
      </c>
      <c r="G33" s="17">
        <v>0</v>
      </c>
      <c r="H33" s="17">
        <v>0</v>
      </c>
      <c r="I33" s="12">
        <f t="shared" si="7"/>
        <v>42</v>
      </c>
      <c r="J33" s="12">
        <f t="shared" si="8"/>
        <v>35</v>
      </c>
      <c r="K33" s="12">
        <f t="shared" si="9"/>
        <v>13</v>
      </c>
      <c r="L33" s="17">
        <v>13</v>
      </c>
      <c r="M33" s="17">
        <v>0</v>
      </c>
      <c r="N33" s="17">
        <v>21</v>
      </c>
      <c r="O33" s="17">
        <v>0</v>
      </c>
      <c r="P33" s="17">
        <v>1</v>
      </c>
      <c r="Q33" s="115">
        <f>D33-G33-K33-N33-P33-R33-S33</f>
        <v>7</v>
      </c>
      <c r="R33" s="47"/>
      <c r="S33" s="17">
        <v>0</v>
      </c>
      <c r="T33" s="17">
        <f t="shared" si="3"/>
        <v>29</v>
      </c>
      <c r="U33" s="13">
        <f t="shared" si="2"/>
        <v>0.37142857142857144</v>
      </c>
      <c r="V33" s="43">
        <f t="shared" si="4"/>
        <v>42</v>
      </c>
      <c r="W33" s="87">
        <f t="shared" si="5"/>
        <v>42</v>
      </c>
      <c r="X33" s="86">
        <f t="shared" si="10"/>
        <v>0</v>
      </c>
    </row>
    <row r="34" spans="1:24" s="14" customFormat="1" ht="13.5" customHeight="1">
      <c r="A34" s="15">
        <v>4.2</v>
      </c>
      <c r="B34" s="16" t="s">
        <v>71</v>
      </c>
      <c r="C34" s="12">
        <f t="shared" si="11"/>
        <v>30</v>
      </c>
      <c r="D34" s="12">
        <f t="shared" si="6"/>
        <v>30</v>
      </c>
      <c r="E34" s="114">
        <v>11</v>
      </c>
      <c r="F34" s="17">
        <v>19</v>
      </c>
      <c r="G34" s="17">
        <v>0</v>
      </c>
      <c r="H34" s="17">
        <v>0</v>
      </c>
      <c r="I34" s="12">
        <f t="shared" si="7"/>
        <v>30</v>
      </c>
      <c r="J34" s="12">
        <f t="shared" si="8"/>
        <v>22</v>
      </c>
      <c r="K34" s="12">
        <f t="shared" si="9"/>
        <v>8</v>
      </c>
      <c r="L34" s="17">
        <v>8</v>
      </c>
      <c r="M34" s="17">
        <v>0</v>
      </c>
      <c r="N34" s="17">
        <v>14</v>
      </c>
      <c r="O34" s="17">
        <v>0</v>
      </c>
      <c r="P34" s="17">
        <v>0</v>
      </c>
      <c r="Q34" s="115">
        <f>D34-G34-K34-N34-P34-R34-S34</f>
        <v>8</v>
      </c>
      <c r="R34" s="47"/>
      <c r="S34" s="17">
        <v>0</v>
      </c>
      <c r="T34" s="17">
        <f t="shared" si="3"/>
        <v>22</v>
      </c>
      <c r="U34" s="13">
        <f t="shared" si="2"/>
        <v>0.36363636363636365</v>
      </c>
      <c r="V34" s="43">
        <f t="shared" si="4"/>
        <v>30</v>
      </c>
      <c r="W34" s="87">
        <f t="shared" si="5"/>
        <v>30</v>
      </c>
      <c r="X34" s="86">
        <f t="shared" si="10"/>
        <v>0</v>
      </c>
    </row>
    <row r="35" spans="1:24" s="14" customFormat="1" ht="13.5" customHeight="1">
      <c r="A35" s="15">
        <v>4.3</v>
      </c>
      <c r="B35" s="16" t="s">
        <v>72</v>
      </c>
      <c r="C35" s="12">
        <f t="shared" si="11"/>
        <v>21</v>
      </c>
      <c r="D35" s="12">
        <f t="shared" si="6"/>
        <v>21</v>
      </c>
      <c r="E35" s="114">
        <v>9</v>
      </c>
      <c r="F35" s="17">
        <v>12</v>
      </c>
      <c r="G35" s="17">
        <v>0</v>
      </c>
      <c r="H35" s="17">
        <v>0</v>
      </c>
      <c r="I35" s="12">
        <f t="shared" si="7"/>
        <v>21</v>
      </c>
      <c r="J35" s="12">
        <f t="shared" si="8"/>
        <v>16</v>
      </c>
      <c r="K35" s="12">
        <f t="shared" si="9"/>
        <v>9</v>
      </c>
      <c r="L35" s="17">
        <v>9</v>
      </c>
      <c r="M35" s="17">
        <v>0</v>
      </c>
      <c r="N35" s="17">
        <v>7</v>
      </c>
      <c r="O35" s="17">
        <v>0</v>
      </c>
      <c r="P35" s="17">
        <v>0</v>
      </c>
      <c r="Q35" s="115">
        <f>D35-G35-K35-N35-P35-R35-S35</f>
        <v>5</v>
      </c>
      <c r="R35" s="47"/>
      <c r="S35" s="17">
        <v>0</v>
      </c>
      <c r="T35" s="17">
        <f t="shared" si="3"/>
        <v>12</v>
      </c>
      <c r="U35" s="13">
        <f t="shared" si="2"/>
        <v>0.5625</v>
      </c>
      <c r="V35" s="43">
        <f t="shared" si="4"/>
        <v>21</v>
      </c>
      <c r="W35" s="87">
        <f t="shared" si="5"/>
        <v>21</v>
      </c>
      <c r="X35" s="86">
        <f t="shared" si="10"/>
        <v>0</v>
      </c>
    </row>
    <row r="36" spans="1:24" s="14" customFormat="1" ht="13.5" customHeight="1">
      <c r="A36" s="15">
        <v>4.4</v>
      </c>
      <c r="B36" s="16" t="s">
        <v>91</v>
      </c>
      <c r="C36" s="12">
        <f t="shared" si="11"/>
        <v>30</v>
      </c>
      <c r="D36" s="12">
        <f t="shared" si="6"/>
        <v>30</v>
      </c>
      <c r="E36" s="114">
        <v>12</v>
      </c>
      <c r="F36" s="17">
        <v>18</v>
      </c>
      <c r="G36" s="17">
        <v>0</v>
      </c>
      <c r="H36" s="17">
        <v>0</v>
      </c>
      <c r="I36" s="12">
        <f t="shared" si="7"/>
        <v>30</v>
      </c>
      <c r="J36" s="12">
        <f t="shared" si="8"/>
        <v>26</v>
      </c>
      <c r="K36" s="12">
        <f t="shared" si="9"/>
        <v>17</v>
      </c>
      <c r="L36" s="17">
        <v>17</v>
      </c>
      <c r="M36" s="17">
        <v>0</v>
      </c>
      <c r="N36" s="17">
        <v>9</v>
      </c>
      <c r="O36" s="17">
        <v>0</v>
      </c>
      <c r="P36" s="17">
        <v>0</v>
      </c>
      <c r="Q36" s="115">
        <f>D36-G36-K36-N36-P36-R36-S36</f>
        <v>0</v>
      </c>
      <c r="R36" s="47"/>
      <c r="S36" s="17">
        <v>4</v>
      </c>
      <c r="T36" s="17">
        <f t="shared" si="3"/>
        <v>13</v>
      </c>
      <c r="U36" s="13">
        <f t="shared" si="2"/>
        <v>0.6538461538461539</v>
      </c>
      <c r="V36" s="43">
        <f t="shared" si="4"/>
        <v>30</v>
      </c>
      <c r="W36" s="87">
        <f t="shared" si="5"/>
        <v>30</v>
      </c>
      <c r="X36" s="86">
        <f t="shared" si="10"/>
        <v>0</v>
      </c>
    </row>
    <row r="37" spans="1:24" s="14" customFormat="1" ht="13.5" customHeight="1">
      <c r="A37" s="15">
        <v>4.5</v>
      </c>
      <c r="B37" s="16" t="s">
        <v>68</v>
      </c>
      <c r="C37" s="12">
        <f t="shared" si="11"/>
        <v>14</v>
      </c>
      <c r="D37" s="12">
        <f t="shared" si="6"/>
        <v>14</v>
      </c>
      <c r="E37" s="114">
        <v>0</v>
      </c>
      <c r="F37" s="17">
        <v>14</v>
      </c>
      <c r="G37" s="17">
        <v>0</v>
      </c>
      <c r="H37" s="17">
        <v>0</v>
      </c>
      <c r="I37" s="12">
        <f t="shared" si="7"/>
        <v>14</v>
      </c>
      <c r="J37" s="12">
        <f t="shared" si="8"/>
        <v>14</v>
      </c>
      <c r="K37" s="12">
        <f t="shared" si="9"/>
        <v>12</v>
      </c>
      <c r="L37" s="17">
        <v>12</v>
      </c>
      <c r="M37" s="17">
        <v>0</v>
      </c>
      <c r="N37" s="17">
        <v>2</v>
      </c>
      <c r="O37" s="17">
        <v>0</v>
      </c>
      <c r="P37" s="17">
        <v>0</v>
      </c>
      <c r="Q37" s="115">
        <f>D37-G37-K37-N37-P37-R37-S37</f>
        <v>0</v>
      </c>
      <c r="R37" s="47"/>
      <c r="S37" s="17">
        <v>0</v>
      </c>
      <c r="T37" s="17">
        <f t="shared" si="3"/>
        <v>2</v>
      </c>
      <c r="U37" s="13">
        <f t="shared" si="2"/>
        <v>0.8571428571428571</v>
      </c>
      <c r="V37" s="43">
        <f t="shared" si="4"/>
        <v>14</v>
      </c>
      <c r="W37" s="87">
        <f t="shared" si="5"/>
        <v>14</v>
      </c>
      <c r="X37" s="86">
        <f t="shared" si="10"/>
        <v>0</v>
      </c>
    </row>
    <row r="38" spans="1:24" s="60" customFormat="1" ht="21" customHeight="1">
      <c r="A38" s="69">
        <v>5</v>
      </c>
      <c r="B38" s="63" t="s">
        <v>73</v>
      </c>
      <c r="C38" s="64">
        <f t="shared" si="11"/>
        <v>292</v>
      </c>
      <c r="D38" s="64">
        <f t="shared" si="6"/>
        <v>292</v>
      </c>
      <c r="E38" s="66">
        <f>SUM(E39:E42)</f>
        <v>176</v>
      </c>
      <c r="F38" s="48">
        <f>SUM(F39:F42)</f>
        <v>116</v>
      </c>
      <c r="G38" s="48">
        <f>SUM(G39:G42)</f>
        <v>0</v>
      </c>
      <c r="H38" s="48">
        <f>SUM(H39:H42)</f>
        <v>0</v>
      </c>
      <c r="I38" s="64">
        <f t="shared" si="7"/>
        <v>292</v>
      </c>
      <c r="J38" s="64">
        <f t="shared" si="8"/>
        <v>182</v>
      </c>
      <c r="K38" s="64">
        <f t="shared" si="9"/>
        <v>64</v>
      </c>
      <c r="L38" s="48">
        <f>SUM(L39:L42)</f>
        <v>56</v>
      </c>
      <c r="M38" s="48">
        <f>SUM(M39:M42)</f>
        <v>8</v>
      </c>
      <c r="N38" s="48">
        <f>SUM(N39:N42)</f>
        <v>118</v>
      </c>
      <c r="O38" s="48">
        <f>SUM(O39:O42)</f>
        <v>0</v>
      </c>
      <c r="P38" s="66">
        <f>SUM(P39:P42)</f>
        <v>0</v>
      </c>
      <c r="Q38" s="67">
        <f>I38-J38-R38-S38</f>
        <v>110</v>
      </c>
      <c r="R38" s="70"/>
      <c r="S38" s="66">
        <f>SUM(S39:S42)</f>
        <v>0</v>
      </c>
      <c r="T38" s="67">
        <f t="shared" si="3"/>
        <v>228</v>
      </c>
      <c r="U38" s="68">
        <f t="shared" si="2"/>
        <v>0.3516483516483517</v>
      </c>
      <c r="V38" s="95">
        <f t="shared" si="4"/>
        <v>292</v>
      </c>
      <c r="W38" s="86">
        <f t="shared" si="5"/>
        <v>292</v>
      </c>
      <c r="X38" s="86">
        <f t="shared" si="10"/>
        <v>0</v>
      </c>
    </row>
    <row r="39" spans="1:24" s="14" customFormat="1" ht="18.75" customHeight="1">
      <c r="A39" s="15">
        <v>5.1</v>
      </c>
      <c r="B39" s="16" t="s">
        <v>74</v>
      </c>
      <c r="C39" s="12">
        <f t="shared" si="11"/>
        <v>89</v>
      </c>
      <c r="D39" s="12">
        <f t="shared" si="6"/>
        <v>89</v>
      </c>
      <c r="E39" s="122">
        <v>56</v>
      </c>
      <c r="F39" s="17">
        <v>33</v>
      </c>
      <c r="G39" s="17">
        <v>0</v>
      </c>
      <c r="H39" s="17">
        <v>0</v>
      </c>
      <c r="I39" s="12">
        <f t="shared" si="7"/>
        <v>89</v>
      </c>
      <c r="J39" s="12">
        <f t="shared" si="8"/>
        <v>53</v>
      </c>
      <c r="K39" s="12">
        <f t="shared" si="9"/>
        <v>28</v>
      </c>
      <c r="L39" s="17">
        <v>22</v>
      </c>
      <c r="M39" s="17">
        <v>6</v>
      </c>
      <c r="N39" s="17">
        <v>25</v>
      </c>
      <c r="O39" s="17">
        <v>0</v>
      </c>
      <c r="P39" s="17">
        <v>0</v>
      </c>
      <c r="Q39" s="123">
        <v>36</v>
      </c>
      <c r="R39" s="47"/>
      <c r="S39" s="17">
        <v>0</v>
      </c>
      <c r="T39" s="48">
        <f t="shared" si="3"/>
        <v>61</v>
      </c>
      <c r="U39" s="13">
        <f t="shared" si="2"/>
        <v>0.5283018867924528</v>
      </c>
      <c r="V39" s="43">
        <f t="shared" si="4"/>
        <v>89</v>
      </c>
      <c r="W39" s="87">
        <f t="shared" si="5"/>
        <v>89</v>
      </c>
      <c r="X39" s="86">
        <f t="shared" si="10"/>
        <v>0</v>
      </c>
    </row>
    <row r="40" spans="1:24" s="14" customFormat="1" ht="16.5" customHeight="1">
      <c r="A40" s="15">
        <v>5.2</v>
      </c>
      <c r="B40" s="16" t="s">
        <v>75</v>
      </c>
      <c r="C40" s="12">
        <f>D40</f>
        <v>12</v>
      </c>
      <c r="D40" s="12">
        <f>F40+E40</f>
        <v>12</v>
      </c>
      <c r="E40" s="122">
        <v>2</v>
      </c>
      <c r="F40" s="17">
        <v>10</v>
      </c>
      <c r="G40" s="17">
        <v>0</v>
      </c>
      <c r="H40" s="17">
        <v>0</v>
      </c>
      <c r="I40" s="12">
        <f>D40-G40-H40</f>
        <v>12</v>
      </c>
      <c r="J40" s="12">
        <f>L40+M40+N40+P40</f>
        <v>12</v>
      </c>
      <c r="K40" s="12">
        <f>M40+L40</f>
        <v>5</v>
      </c>
      <c r="L40" s="17">
        <v>5</v>
      </c>
      <c r="M40" s="17">
        <v>0</v>
      </c>
      <c r="N40" s="17">
        <v>7</v>
      </c>
      <c r="O40" s="17">
        <v>0</v>
      </c>
      <c r="P40" s="17">
        <v>0</v>
      </c>
      <c r="Q40" s="123">
        <v>0</v>
      </c>
      <c r="R40" s="47"/>
      <c r="S40" s="17">
        <v>0</v>
      </c>
      <c r="T40" s="17">
        <f>N40+O40+P40+Q40+R40+S40</f>
        <v>7</v>
      </c>
      <c r="U40" s="13">
        <f>IF(J40&lt;&gt;0,K40/J40,"")</f>
        <v>0.4166666666666667</v>
      </c>
      <c r="V40" s="43">
        <f>IF(I40=C40-G40-H40,I40,"KT lai")</f>
        <v>12</v>
      </c>
      <c r="W40" s="87">
        <f>J40+Q40+S40</f>
        <v>12</v>
      </c>
      <c r="X40" s="86">
        <f t="shared" si="10"/>
        <v>0</v>
      </c>
    </row>
    <row r="41" spans="1:24" s="14" customFormat="1" ht="18.75" customHeight="1">
      <c r="A41" s="15">
        <v>5.3</v>
      </c>
      <c r="B41" s="16" t="s">
        <v>92</v>
      </c>
      <c r="C41" s="12">
        <f>D41</f>
        <v>92</v>
      </c>
      <c r="D41" s="12">
        <f t="shared" si="6"/>
        <v>92</v>
      </c>
      <c r="E41" s="122">
        <v>58</v>
      </c>
      <c r="F41" s="17">
        <v>34</v>
      </c>
      <c r="G41" s="17">
        <v>0</v>
      </c>
      <c r="H41" s="17">
        <v>0</v>
      </c>
      <c r="I41" s="12"/>
      <c r="J41" s="12"/>
      <c r="K41" s="12"/>
      <c r="L41" s="17">
        <v>16</v>
      </c>
      <c r="M41" s="17">
        <v>1</v>
      </c>
      <c r="N41" s="17">
        <v>41</v>
      </c>
      <c r="O41" s="17">
        <v>0</v>
      </c>
      <c r="P41" s="17">
        <v>0</v>
      </c>
      <c r="Q41" s="123">
        <v>34</v>
      </c>
      <c r="R41" s="47"/>
      <c r="S41" s="17">
        <v>0</v>
      </c>
      <c r="T41" s="17">
        <f>N41+O41+P41+Q41+R41+S41</f>
        <v>75</v>
      </c>
      <c r="U41" s="13">
        <f>IF(J41&lt;&gt;0,K41/J41,"")</f>
      </c>
      <c r="V41" s="43"/>
      <c r="W41" s="87"/>
      <c r="X41" s="86">
        <f t="shared" si="10"/>
        <v>0</v>
      </c>
    </row>
    <row r="42" spans="1:24" s="14" customFormat="1" ht="16.5" customHeight="1">
      <c r="A42" s="15">
        <v>5.4</v>
      </c>
      <c r="B42" s="16" t="s">
        <v>79</v>
      </c>
      <c r="C42" s="12">
        <f>D42</f>
        <v>99</v>
      </c>
      <c r="D42" s="12">
        <f t="shared" si="6"/>
        <v>99</v>
      </c>
      <c r="E42" s="122">
        <v>60</v>
      </c>
      <c r="F42" s="17">
        <v>39</v>
      </c>
      <c r="G42" s="17">
        <v>0</v>
      </c>
      <c r="H42" s="17">
        <v>0</v>
      </c>
      <c r="I42" s="12">
        <f t="shared" si="7"/>
        <v>99</v>
      </c>
      <c r="J42" s="12">
        <f t="shared" si="8"/>
        <v>59</v>
      </c>
      <c r="K42" s="12">
        <f t="shared" si="9"/>
        <v>14</v>
      </c>
      <c r="L42" s="17">
        <v>13</v>
      </c>
      <c r="M42" s="17">
        <v>1</v>
      </c>
      <c r="N42" s="17">
        <v>45</v>
      </c>
      <c r="O42" s="17">
        <v>0</v>
      </c>
      <c r="P42" s="17">
        <v>0</v>
      </c>
      <c r="Q42" s="123">
        <v>40</v>
      </c>
      <c r="R42" s="47"/>
      <c r="S42" s="17">
        <v>0</v>
      </c>
      <c r="T42" s="17">
        <f>N42+O42+P42+Q42+R42+S42</f>
        <v>85</v>
      </c>
      <c r="U42" s="13">
        <f>IF(J42&lt;&gt;0,K42/J42,"")</f>
        <v>0.23728813559322035</v>
      </c>
      <c r="V42" s="43">
        <f t="shared" si="4"/>
        <v>99</v>
      </c>
      <c r="W42" s="87">
        <f t="shared" si="5"/>
        <v>99</v>
      </c>
      <c r="X42" s="86">
        <f t="shared" si="10"/>
        <v>0</v>
      </c>
    </row>
    <row r="43" spans="1:24" s="60" customFormat="1" ht="24" customHeight="1">
      <c r="A43" s="69">
        <v>6</v>
      </c>
      <c r="B43" s="63" t="s">
        <v>76</v>
      </c>
      <c r="C43" s="64">
        <f t="shared" si="11"/>
        <v>416</v>
      </c>
      <c r="D43" s="64">
        <f t="shared" si="6"/>
        <v>416</v>
      </c>
      <c r="E43" s="66">
        <f>SUM(E44:E48)</f>
        <v>216</v>
      </c>
      <c r="F43" s="48">
        <f>SUM(F44:F48)</f>
        <v>200</v>
      </c>
      <c r="G43" s="48">
        <f>SUM(G44:G48)</f>
        <v>0</v>
      </c>
      <c r="H43" s="48">
        <f>SUM(H44:H48)</f>
        <v>0</v>
      </c>
      <c r="I43" s="64">
        <f t="shared" si="7"/>
        <v>416</v>
      </c>
      <c r="J43" s="64">
        <f t="shared" si="8"/>
        <v>320</v>
      </c>
      <c r="K43" s="64">
        <f t="shared" si="9"/>
        <v>120</v>
      </c>
      <c r="L43" s="48">
        <f>SUM(L44:L48)</f>
        <v>110</v>
      </c>
      <c r="M43" s="48">
        <f>SUM(M44:M48)</f>
        <v>10</v>
      </c>
      <c r="N43" s="48">
        <f>SUM(N44:N48)</f>
        <v>200</v>
      </c>
      <c r="O43" s="48">
        <f>SUM(O44:O48)</f>
        <v>0</v>
      </c>
      <c r="P43" s="66">
        <f>SUM(P44:P48)</f>
        <v>0</v>
      </c>
      <c r="Q43" s="67">
        <f>I43-J43-R43-S43</f>
        <v>96</v>
      </c>
      <c r="R43" s="70"/>
      <c r="S43" s="66">
        <f>SUM(S44:S48)</f>
        <v>0</v>
      </c>
      <c r="T43" s="67">
        <f t="shared" si="3"/>
        <v>296</v>
      </c>
      <c r="U43" s="68">
        <f t="shared" si="2"/>
        <v>0.375</v>
      </c>
      <c r="V43" s="95">
        <f t="shared" si="4"/>
        <v>416</v>
      </c>
      <c r="W43" s="86">
        <f t="shared" si="5"/>
        <v>416</v>
      </c>
      <c r="X43" s="86">
        <f t="shared" si="10"/>
        <v>0</v>
      </c>
    </row>
    <row r="44" spans="1:24" s="14" customFormat="1" ht="13.5" customHeight="1">
      <c r="A44" s="15">
        <v>6.1</v>
      </c>
      <c r="B44" s="16" t="s">
        <v>78</v>
      </c>
      <c r="C44" s="12">
        <f t="shared" si="11"/>
        <v>97</v>
      </c>
      <c r="D44" s="12">
        <f t="shared" si="6"/>
        <v>97</v>
      </c>
      <c r="E44" s="116">
        <v>50</v>
      </c>
      <c r="F44" s="17">
        <v>47</v>
      </c>
      <c r="G44" s="17">
        <v>0</v>
      </c>
      <c r="H44" s="17">
        <v>0</v>
      </c>
      <c r="I44" s="12">
        <f t="shared" si="7"/>
        <v>97</v>
      </c>
      <c r="J44" s="12">
        <f t="shared" si="8"/>
        <v>74</v>
      </c>
      <c r="K44" s="12">
        <f t="shared" si="9"/>
        <v>19</v>
      </c>
      <c r="L44" s="17">
        <v>17</v>
      </c>
      <c r="M44" s="17">
        <v>2</v>
      </c>
      <c r="N44" s="17">
        <v>55</v>
      </c>
      <c r="O44" s="17">
        <v>0</v>
      </c>
      <c r="P44" s="17">
        <v>0</v>
      </c>
      <c r="Q44" s="116">
        <v>23</v>
      </c>
      <c r="R44" s="47"/>
      <c r="S44" s="17">
        <v>0</v>
      </c>
      <c r="T44" s="17">
        <f t="shared" si="3"/>
        <v>78</v>
      </c>
      <c r="U44" s="13">
        <f t="shared" si="2"/>
        <v>0.25675675675675674</v>
      </c>
      <c r="V44" s="43">
        <f t="shared" si="4"/>
        <v>97</v>
      </c>
      <c r="W44" s="87">
        <f t="shared" si="5"/>
        <v>97</v>
      </c>
      <c r="X44" s="86">
        <f t="shared" si="10"/>
        <v>0</v>
      </c>
    </row>
    <row r="45" spans="1:24" s="14" customFormat="1" ht="13.5" customHeight="1">
      <c r="A45" s="15">
        <v>6.2</v>
      </c>
      <c r="B45" s="16" t="s">
        <v>80</v>
      </c>
      <c r="C45" s="12">
        <f t="shared" si="11"/>
        <v>77</v>
      </c>
      <c r="D45" s="12">
        <f t="shared" si="6"/>
        <v>77</v>
      </c>
      <c r="E45" s="116">
        <v>40</v>
      </c>
      <c r="F45" s="17">
        <v>37</v>
      </c>
      <c r="G45" s="17">
        <v>0</v>
      </c>
      <c r="H45" s="17">
        <v>0</v>
      </c>
      <c r="I45" s="12">
        <f t="shared" si="7"/>
        <v>77</v>
      </c>
      <c r="J45" s="12">
        <f t="shared" si="8"/>
        <v>56</v>
      </c>
      <c r="K45" s="12">
        <f t="shared" si="9"/>
        <v>29</v>
      </c>
      <c r="L45" s="17">
        <v>27</v>
      </c>
      <c r="M45" s="17">
        <v>2</v>
      </c>
      <c r="N45" s="17">
        <v>27</v>
      </c>
      <c r="O45" s="17">
        <v>0</v>
      </c>
      <c r="P45" s="17">
        <v>0</v>
      </c>
      <c r="Q45" s="116">
        <v>21</v>
      </c>
      <c r="R45" s="47"/>
      <c r="S45" s="17">
        <v>0</v>
      </c>
      <c r="T45" s="17">
        <f t="shared" si="3"/>
        <v>48</v>
      </c>
      <c r="U45" s="13">
        <f t="shared" si="2"/>
        <v>0.5178571428571429</v>
      </c>
      <c r="V45" s="43">
        <f t="shared" si="4"/>
        <v>77</v>
      </c>
      <c r="W45" s="87">
        <f t="shared" si="5"/>
        <v>77</v>
      </c>
      <c r="X45" s="86">
        <f t="shared" si="10"/>
        <v>0</v>
      </c>
    </row>
    <row r="46" spans="1:24" s="14" customFormat="1" ht="13.5" customHeight="1">
      <c r="A46" s="15">
        <v>6.3</v>
      </c>
      <c r="B46" s="16" t="s">
        <v>82</v>
      </c>
      <c r="C46" s="12">
        <f t="shared" si="11"/>
        <v>114</v>
      </c>
      <c r="D46" s="12">
        <f t="shared" si="6"/>
        <v>114</v>
      </c>
      <c r="E46" s="116">
        <v>58</v>
      </c>
      <c r="F46" s="17">
        <v>56</v>
      </c>
      <c r="G46" s="17">
        <v>0</v>
      </c>
      <c r="H46" s="17">
        <v>0</v>
      </c>
      <c r="I46" s="12">
        <f t="shared" si="7"/>
        <v>114</v>
      </c>
      <c r="J46" s="12">
        <f t="shared" si="8"/>
        <v>95</v>
      </c>
      <c r="K46" s="12">
        <f t="shared" si="9"/>
        <v>31</v>
      </c>
      <c r="L46" s="17">
        <v>29</v>
      </c>
      <c r="M46" s="17">
        <v>2</v>
      </c>
      <c r="N46" s="17">
        <v>64</v>
      </c>
      <c r="O46" s="17">
        <v>0</v>
      </c>
      <c r="P46" s="17">
        <v>0</v>
      </c>
      <c r="Q46" s="116">
        <v>19</v>
      </c>
      <c r="R46" s="47"/>
      <c r="S46" s="17">
        <v>0</v>
      </c>
      <c r="T46" s="17">
        <f t="shared" si="3"/>
        <v>83</v>
      </c>
      <c r="U46" s="13">
        <f t="shared" si="2"/>
        <v>0.3263157894736842</v>
      </c>
      <c r="V46" s="43">
        <f t="shared" si="4"/>
        <v>114</v>
      </c>
      <c r="W46" s="87">
        <f t="shared" si="5"/>
        <v>114</v>
      </c>
      <c r="X46" s="86">
        <f t="shared" si="10"/>
        <v>0</v>
      </c>
    </row>
    <row r="47" spans="1:24" s="14" customFormat="1" ht="13.5" customHeight="1">
      <c r="A47" s="15">
        <v>6.4</v>
      </c>
      <c r="B47" s="16" t="s">
        <v>83</v>
      </c>
      <c r="C47" s="12">
        <f t="shared" si="11"/>
        <v>125</v>
      </c>
      <c r="D47" s="12">
        <f t="shared" si="6"/>
        <v>125</v>
      </c>
      <c r="E47" s="116">
        <v>68</v>
      </c>
      <c r="F47" s="17">
        <v>57</v>
      </c>
      <c r="G47" s="17">
        <v>0</v>
      </c>
      <c r="H47" s="17">
        <v>0</v>
      </c>
      <c r="I47" s="12">
        <f t="shared" si="7"/>
        <v>125</v>
      </c>
      <c r="J47" s="12">
        <f t="shared" si="8"/>
        <v>92</v>
      </c>
      <c r="K47" s="12">
        <f t="shared" si="9"/>
        <v>38</v>
      </c>
      <c r="L47" s="17">
        <v>34</v>
      </c>
      <c r="M47" s="17">
        <v>4</v>
      </c>
      <c r="N47" s="17">
        <v>54</v>
      </c>
      <c r="O47" s="17">
        <v>0</v>
      </c>
      <c r="P47" s="17">
        <v>0</v>
      </c>
      <c r="Q47" s="116">
        <v>33</v>
      </c>
      <c r="R47" s="47"/>
      <c r="S47" s="17">
        <v>0</v>
      </c>
      <c r="T47" s="17">
        <f t="shared" si="3"/>
        <v>87</v>
      </c>
      <c r="U47" s="13">
        <f t="shared" si="2"/>
        <v>0.41304347826086957</v>
      </c>
      <c r="V47" s="43">
        <f t="shared" si="4"/>
        <v>125</v>
      </c>
      <c r="W47" s="87">
        <f t="shared" si="5"/>
        <v>125</v>
      </c>
      <c r="X47" s="86">
        <f t="shared" si="10"/>
        <v>0</v>
      </c>
    </row>
    <row r="48" spans="1:24" s="14" customFormat="1" ht="13.5" customHeight="1">
      <c r="A48" s="15">
        <v>6.5</v>
      </c>
      <c r="B48" s="16" t="s">
        <v>58</v>
      </c>
      <c r="C48" s="12">
        <f t="shared" si="11"/>
        <v>3</v>
      </c>
      <c r="D48" s="12">
        <f t="shared" si="6"/>
        <v>3</v>
      </c>
      <c r="E48" s="117">
        <v>0</v>
      </c>
      <c r="F48" s="17">
        <v>3</v>
      </c>
      <c r="G48" s="17">
        <v>0</v>
      </c>
      <c r="H48" s="17">
        <v>0</v>
      </c>
      <c r="I48" s="12">
        <f t="shared" si="7"/>
        <v>3</v>
      </c>
      <c r="J48" s="12">
        <f t="shared" si="8"/>
        <v>3</v>
      </c>
      <c r="K48" s="12">
        <f t="shared" si="9"/>
        <v>3</v>
      </c>
      <c r="L48" s="17">
        <v>3</v>
      </c>
      <c r="M48" s="17">
        <v>0</v>
      </c>
      <c r="N48" s="17">
        <v>0</v>
      </c>
      <c r="O48" s="17">
        <v>0</v>
      </c>
      <c r="P48" s="17">
        <v>0</v>
      </c>
      <c r="Q48" s="117">
        <v>0</v>
      </c>
      <c r="R48" s="47"/>
      <c r="S48" s="17">
        <v>0</v>
      </c>
      <c r="T48" s="17">
        <f t="shared" si="3"/>
        <v>0</v>
      </c>
      <c r="U48" s="13">
        <f t="shared" si="2"/>
        <v>1</v>
      </c>
      <c r="V48" s="43">
        <f t="shared" si="4"/>
        <v>3</v>
      </c>
      <c r="W48" s="87">
        <f t="shared" si="5"/>
        <v>3</v>
      </c>
      <c r="X48" s="86">
        <f t="shared" si="10"/>
        <v>0</v>
      </c>
    </row>
    <row r="49" spans="1:24" s="22" customFormat="1" ht="18" customHeight="1">
      <c r="A49" s="347"/>
      <c r="B49" s="348"/>
      <c r="C49" s="348"/>
      <c r="D49" s="348"/>
      <c r="E49" s="348"/>
      <c r="F49" s="20"/>
      <c r="G49" s="20"/>
      <c r="H49" s="20"/>
      <c r="I49" s="21"/>
      <c r="J49" s="21"/>
      <c r="K49" s="21"/>
      <c r="L49" s="99"/>
      <c r="M49" s="99"/>
      <c r="N49" s="391" t="s">
        <v>182</v>
      </c>
      <c r="O49" s="392"/>
      <c r="P49" s="392"/>
      <c r="Q49" s="392"/>
      <c r="R49" s="392"/>
      <c r="S49" s="392"/>
      <c r="T49" s="392"/>
      <c r="U49" s="392"/>
      <c r="V49" s="85"/>
      <c r="W49" s="85"/>
      <c r="X49" s="85"/>
    </row>
    <row r="50" spans="1:21" ht="15.75" customHeight="1">
      <c r="A50" s="393" t="s">
        <v>84</v>
      </c>
      <c r="B50" s="394"/>
      <c r="C50" s="394"/>
      <c r="D50" s="394"/>
      <c r="E50" s="394"/>
      <c r="F50" s="23"/>
      <c r="G50" s="23"/>
      <c r="H50" s="23"/>
      <c r="I50" s="24"/>
      <c r="J50" s="24"/>
      <c r="K50" s="24"/>
      <c r="L50" s="91"/>
      <c r="M50" s="91"/>
      <c r="N50" s="395" t="str">
        <f>'[1]TT'!C5</f>
        <v>CỤC TRƯỞNG</v>
      </c>
      <c r="O50" s="395"/>
      <c r="P50" s="395"/>
      <c r="Q50" s="395"/>
      <c r="R50" s="395"/>
      <c r="S50" s="395"/>
      <c r="T50" s="395"/>
      <c r="U50" s="395"/>
    </row>
    <row r="51" spans="1:21" ht="57.75" customHeight="1">
      <c r="A51" s="25"/>
      <c r="B51" s="23"/>
      <c r="C51" s="25"/>
      <c r="D51" s="25"/>
      <c r="E51" s="79"/>
      <c r="F51" s="26"/>
      <c r="G51" s="26"/>
      <c r="H51" s="26"/>
      <c r="I51" s="24"/>
      <c r="J51" s="24"/>
      <c r="K51" s="24"/>
      <c r="L51" s="91"/>
      <c r="M51" s="91"/>
      <c r="N51" s="91"/>
      <c r="O51" s="91"/>
      <c r="P51" s="92"/>
      <c r="Q51" s="74"/>
      <c r="R51" s="26"/>
      <c r="S51" s="24"/>
      <c r="T51" s="28"/>
      <c r="U51" s="28"/>
    </row>
    <row r="52" spans="1:21" ht="15.75" customHeight="1">
      <c r="A52" s="387" t="str">
        <f>'[1]TT'!C6</f>
        <v>TRẦN ĐỨC TOẢN</v>
      </c>
      <c r="B52" s="387"/>
      <c r="C52" s="387"/>
      <c r="D52" s="387"/>
      <c r="E52" s="387"/>
      <c r="F52" s="29" t="s">
        <v>45</v>
      </c>
      <c r="G52" s="29"/>
      <c r="H52" s="29"/>
      <c r="I52" s="29"/>
      <c r="J52" s="29"/>
      <c r="K52" s="29"/>
      <c r="L52" s="100"/>
      <c r="M52" s="100"/>
      <c r="N52" s="388" t="s">
        <v>93</v>
      </c>
      <c r="O52" s="388"/>
      <c r="P52" s="388"/>
      <c r="Q52" s="388"/>
      <c r="R52" s="388"/>
      <c r="S52" s="388"/>
      <c r="T52" s="388"/>
      <c r="U52" s="388"/>
    </row>
    <row r="53" spans="1:21" ht="15.75">
      <c r="A53" s="29"/>
      <c r="B53" s="29"/>
      <c r="C53" s="29"/>
      <c r="D53" s="29"/>
      <c r="E53" s="80"/>
      <c r="F53" s="29"/>
      <c r="G53" s="29"/>
      <c r="H53" s="29"/>
      <c r="I53" s="29"/>
      <c r="J53" s="29"/>
      <c r="K53" s="29"/>
      <c r="L53" s="100"/>
      <c r="M53" s="100"/>
      <c r="N53" s="93"/>
      <c r="O53" s="93"/>
      <c r="P53" s="93"/>
      <c r="Q53" s="75"/>
      <c r="R53" s="30"/>
      <c r="S53" s="30"/>
      <c r="T53" s="30"/>
      <c r="U53" s="30"/>
    </row>
  </sheetData>
  <sheetProtection formatCells="0" formatColumns="0" formatRows="0" insertRows="0" deleteRows="0"/>
  <mergeCells count="35">
    <mergeCell ref="A52:E52"/>
    <mergeCell ref="N52:U52"/>
    <mergeCell ref="A8:B8"/>
    <mergeCell ref="A9:B9"/>
    <mergeCell ref="A49:E49"/>
    <mergeCell ref="N49:U49"/>
    <mergeCell ref="A50:E50"/>
    <mergeCell ref="N50:U50"/>
    <mergeCell ref="R4:R7"/>
    <mergeCell ref="S4:S7"/>
    <mergeCell ref="K5:K7"/>
    <mergeCell ref="L5:M6"/>
    <mergeCell ref="N5:N7"/>
    <mergeCell ref="O5:O7"/>
    <mergeCell ref="P5:P7"/>
    <mergeCell ref="H3:H7"/>
    <mergeCell ref="I3:I7"/>
    <mergeCell ref="J3:S3"/>
    <mergeCell ref="T3:T7"/>
    <mergeCell ref="U3:U7"/>
    <mergeCell ref="E4:E7"/>
    <mergeCell ref="F4:F7"/>
    <mergeCell ref="J4:J7"/>
    <mergeCell ref="K4:P4"/>
    <mergeCell ref="Q4:Q7"/>
    <mergeCell ref="A1:D1"/>
    <mergeCell ref="E1:O1"/>
    <mergeCell ref="P1:U1"/>
    <mergeCell ref="P2:U2"/>
    <mergeCell ref="A3:A7"/>
    <mergeCell ref="B3:B7"/>
    <mergeCell ref="C3:C7"/>
    <mergeCell ref="D3:D7"/>
    <mergeCell ref="E3:F3"/>
    <mergeCell ref="G3:G7"/>
  </mergeCells>
  <printOptions/>
  <pageMargins left="0.393700787401575" right="0.393700787401575" top="0.39" bottom="0.4" header="0.31496062992126" footer="0.31496062992126"/>
  <pageSetup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X52"/>
  <sheetViews>
    <sheetView view="pageBreakPreview" zoomScale="85" zoomScaleSheetLayoutView="85" zoomScalePageLayoutView="0" workbookViewId="0" topLeftCell="A1">
      <selection activeCell="N50" sqref="N50:U50"/>
    </sheetView>
  </sheetViews>
  <sheetFormatPr defaultColWidth="9.00390625" defaultRowHeight="15.75"/>
  <cols>
    <col min="1" max="1" width="3.50390625" style="1" customWidth="1"/>
    <col min="2" max="2" width="21.00390625" style="1" customWidth="1"/>
    <col min="3" max="3" width="11.75390625" style="1" customWidth="1"/>
    <col min="4" max="4" width="11.50390625" style="1" customWidth="1"/>
    <col min="5" max="5" width="10.50390625" style="1" customWidth="1"/>
    <col min="6" max="6" width="8.875" style="1" customWidth="1"/>
    <col min="7" max="7" width="5.875" style="1" customWidth="1"/>
    <col min="8" max="8" width="12.125" style="1" customWidth="1"/>
    <col min="9" max="9" width="10.875" style="1" customWidth="1"/>
    <col min="10" max="10" width="9.625" style="1" customWidth="1"/>
    <col min="11" max="11" width="10.125" style="1" customWidth="1"/>
    <col min="12" max="12" width="8.875" style="1" customWidth="1"/>
    <col min="13" max="13" width="6.75390625" style="32" customWidth="1"/>
    <col min="14" max="14" width="10.875" style="32" customWidth="1"/>
    <col min="15" max="15" width="7.25390625" style="32" customWidth="1"/>
    <col min="16" max="16" width="8.50390625" style="32" customWidth="1"/>
    <col min="17" max="17" width="11.25390625" style="32" customWidth="1"/>
    <col min="18" max="18" width="6.00390625" style="32" customWidth="1"/>
    <col min="19" max="19" width="8.875" style="32" customWidth="1"/>
    <col min="20" max="20" width="10.50390625" style="32" customWidth="1"/>
    <col min="21" max="21" width="7.25390625" style="32" customWidth="1"/>
    <col min="22" max="22" width="15.75390625" style="81" bestFit="1" customWidth="1"/>
    <col min="23" max="23" width="14.875" style="40" customWidth="1"/>
    <col min="24" max="24" width="13.00390625" style="40" customWidth="1"/>
    <col min="25" max="16384" width="9.00390625" style="1" customWidth="1"/>
  </cols>
  <sheetData>
    <row r="1" spans="1:21" ht="69" customHeight="1">
      <c r="A1" s="396" t="s">
        <v>85</v>
      </c>
      <c r="B1" s="396"/>
      <c r="C1" s="396"/>
      <c r="D1" s="396"/>
      <c r="E1" s="397" t="s">
        <v>179</v>
      </c>
      <c r="F1" s="397"/>
      <c r="G1" s="397"/>
      <c r="H1" s="397"/>
      <c r="I1" s="397"/>
      <c r="J1" s="397"/>
      <c r="K1" s="397"/>
      <c r="L1" s="397"/>
      <c r="M1" s="397"/>
      <c r="N1" s="397"/>
      <c r="O1" s="397"/>
      <c r="P1" s="398" t="str">
        <f>'[1]TT'!C2</f>
        <v>Đơn vị  báo cáo: 
Đơn vị nhận báo cáo: </v>
      </c>
      <c r="Q1" s="398"/>
      <c r="R1" s="398"/>
      <c r="S1" s="398"/>
      <c r="T1" s="398"/>
      <c r="U1" s="398"/>
    </row>
    <row r="2" spans="1:21" ht="17.25" customHeight="1">
      <c r="A2" s="2"/>
      <c r="B2" s="5"/>
      <c r="C2" s="33"/>
      <c r="D2" s="33"/>
      <c r="E2" s="33"/>
      <c r="F2" s="5"/>
      <c r="G2" s="5"/>
      <c r="H2" s="34"/>
      <c r="I2" s="35">
        <f>COUNTBLANK(D10:U48)</f>
        <v>5</v>
      </c>
      <c r="J2" s="7">
        <f>COUNTA(D10:U48)</f>
        <v>697</v>
      </c>
      <c r="K2" s="7">
        <f>I2+J2</f>
        <v>702</v>
      </c>
      <c r="L2" s="7"/>
      <c r="M2" s="36"/>
      <c r="N2" s="8"/>
      <c r="O2" s="8"/>
      <c r="P2" s="361" t="s">
        <v>86</v>
      </c>
      <c r="Q2" s="361"/>
      <c r="R2" s="361"/>
      <c r="S2" s="361"/>
      <c r="T2" s="361"/>
      <c r="U2" s="361"/>
    </row>
    <row r="3" spans="1:24" s="9" customFormat="1" ht="15.75" customHeight="1">
      <c r="A3" s="399" t="s">
        <v>2</v>
      </c>
      <c r="B3" s="399" t="s">
        <v>3</v>
      </c>
      <c r="C3" s="402" t="s">
        <v>5</v>
      </c>
      <c r="D3" s="403" t="s">
        <v>6</v>
      </c>
      <c r="E3" s="403"/>
      <c r="F3" s="404" t="s">
        <v>7</v>
      </c>
      <c r="G3" s="405" t="s">
        <v>87</v>
      </c>
      <c r="H3" s="404" t="s">
        <v>9</v>
      </c>
      <c r="I3" s="345" t="s">
        <v>6</v>
      </c>
      <c r="J3" s="346"/>
      <c r="K3" s="346"/>
      <c r="L3" s="346"/>
      <c r="M3" s="346"/>
      <c r="N3" s="346"/>
      <c r="O3" s="346"/>
      <c r="P3" s="346"/>
      <c r="Q3" s="346"/>
      <c r="R3" s="346"/>
      <c r="S3" s="346"/>
      <c r="T3" s="406" t="s">
        <v>10</v>
      </c>
      <c r="U3" s="409" t="s">
        <v>11</v>
      </c>
      <c r="V3" s="82"/>
      <c r="W3" s="41"/>
      <c r="X3" s="41"/>
    </row>
    <row r="4" spans="1:24" s="10" customFormat="1" ht="15.75" customHeight="1">
      <c r="A4" s="400"/>
      <c r="B4" s="400"/>
      <c r="C4" s="402"/>
      <c r="D4" s="403" t="s">
        <v>12</v>
      </c>
      <c r="E4" s="403" t="s">
        <v>13</v>
      </c>
      <c r="F4" s="404"/>
      <c r="G4" s="405"/>
      <c r="H4" s="404"/>
      <c r="I4" s="404" t="s">
        <v>14</v>
      </c>
      <c r="J4" s="403" t="s">
        <v>6</v>
      </c>
      <c r="K4" s="403"/>
      <c r="L4" s="403"/>
      <c r="M4" s="403"/>
      <c r="N4" s="403"/>
      <c r="O4" s="403"/>
      <c r="P4" s="403"/>
      <c r="Q4" s="405" t="s">
        <v>15</v>
      </c>
      <c r="R4" s="404" t="s">
        <v>16</v>
      </c>
      <c r="S4" s="411" t="s">
        <v>17</v>
      </c>
      <c r="T4" s="407"/>
      <c r="U4" s="410"/>
      <c r="V4" s="83"/>
      <c r="W4" s="42"/>
      <c r="X4" s="42"/>
    </row>
    <row r="5" spans="1:24" s="9" customFormat="1" ht="15.75" customHeight="1">
      <c r="A5" s="400"/>
      <c r="B5" s="400"/>
      <c r="C5" s="402"/>
      <c r="D5" s="403"/>
      <c r="E5" s="403"/>
      <c r="F5" s="404"/>
      <c r="G5" s="405"/>
      <c r="H5" s="404"/>
      <c r="I5" s="404"/>
      <c r="J5" s="404" t="s">
        <v>18</v>
      </c>
      <c r="K5" s="403" t="s">
        <v>6</v>
      </c>
      <c r="L5" s="403"/>
      <c r="M5" s="403"/>
      <c r="N5" s="404" t="s">
        <v>19</v>
      </c>
      <c r="O5" s="404" t="s">
        <v>20</v>
      </c>
      <c r="P5" s="404" t="s">
        <v>21</v>
      </c>
      <c r="Q5" s="405"/>
      <c r="R5" s="404"/>
      <c r="S5" s="411"/>
      <c r="T5" s="407"/>
      <c r="U5" s="410"/>
      <c r="V5" s="82"/>
      <c r="W5" s="41"/>
      <c r="X5" s="41"/>
    </row>
    <row r="6" spans="1:24" s="9" customFormat="1" ht="15.75" customHeight="1">
      <c r="A6" s="400"/>
      <c r="B6" s="400"/>
      <c r="C6" s="402"/>
      <c r="D6" s="403"/>
      <c r="E6" s="403"/>
      <c r="F6" s="404"/>
      <c r="G6" s="405"/>
      <c r="H6" s="404"/>
      <c r="I6" s="404"/>
      <c r="J6" s="404"/>
      <c r="K6" s="403"/>
      <c r="L6" s="403"/>
      <c r="M6" s="403"/>
      <c r="N6" s="404"/>
      <c r="O6" s="404"/>
      <c r="P6" s="404"/>
      <c r="Q6" s="405"/>
      <c r="R6" s="404"/>
      <c r="S6" s="411"/>
      <c r="T6" s="407"/>
      <c r="U6" s="410"/>
      <c r="V6" s="82"/>
      <c r="W6" s="41"/>
      <c r="X6" s="41"/>
    </row>
    <row r="7" spans="1:24" s="9" customFormat="1" ht="69" customHeight="1">
      <c r="A7" s="401"/>
      <c r="B7" s="401"/>
      <c r="C7" s="402"/>
      <c r="D7" s="403"/>
      <c r="E7" s="403"/>
      <c r="F7" s="404"/>
      <c r="G7" s="405"/>
      <c r="H7" s="404"/>
      <c r="I7" s="404"/>
      <c r="J7" s="404"/>
      <c r="K7" s="39" t="s">
        <v>22</v>
      </c>
      <c r="L7" s="39" t="s">
        <v>23</v>
      </c>
      <c r="M7" s="39" t="s">
        <v>88</v>
      </c>
      <c r="N7" s="404"/>
      <c r="O7" s="404"/>
      <c r="P7" s="404"/>
      <c r="Q7" s="405"/>
      <c r="R7" s="404"/>
      <c r="S7" s="411"/>
      <c r="T7" s="408"/>
      <c r="U7" s="410"/>
      <c r="V7" s="82"/>
      <c r="W7" s="44"/>
      <c r="X7" s="41"/>
    </row>
    <row r="8" spans="1:21" ht="14.25" customHeight="1">
      <c r="A8" s="389" t="s">
        <v>24</v>
      </c>
      <c r="B8" s="390"/>
      <c r="C8" s="11" t="s">
        <v>25</v>
      </c>
      <c r="D8" s="11" t="s">
        <v>26</v>
      </c>
      <c r="E8" s="11" t="s">
        <v>27</v>
      </c>
      <c r="F8" s="11" t="s">
        <v>28</v>
      </c>
      <c r="G8" s="11" t="s">
        <v>29</v>
      </c>
      <c r="H8" s="11" t="s">
        <v>30</v>
      </c>
      <c r="I8" s="11" t="s">
        <v>31</v>
      </c>
      <c r="J8" s="11" t="s">
        <v>32</v>
      </c>
      <c r="K8" s="11" t="s">
        <v>33</v>
      </c>
      <c r="L8" s="11" t="s">
        <v>34</v>
      </c>
      <c r="M8" s="11" t="s">
        <v>35</v>
      </c>
      <c r="N8" s="11" t="s">
        <v>36</v>
      </c>
      <c r="O8" s="11" t="s">
        <v>37</v>
      </c>
      <c r="P8" s="11" t="s">
        <v>38</v>
      </c>
      <c r="Q8" s="11" t="s">
        <v>39</v>
      </c>
      <c r="R8" s="11" t="s">
        <v>40</v>
      </c>
      <c r="S8" s="11" t="s">
        <v>41</v>
      </c>
      <c r="T8" s="11" t="s">
        <v>42</v>
      </c>
      <c r="U8" s="11" t="s">
        <v>43</v>
      </c>
    </row>
    <row r="9" spans="1:24" ht="23.25" customHeight="1">
      <c r="A9" s="389" t="s">
        <v>89</v>
      </c>
      <c r="B9" s="390"/>
      <c r="C9" s="52">
        <f>D9+E9</f>
        <v>1001463663</v>
      </c>
      <c r="D9" s="53">
        <f>D10+D16</f>
        <v>797265657</v>
      </c>
      <c r="E9" s="53">
        <f aca="true" t="shared" si="0" ref="E9:T9">E10+E16</f>
        <v>204198006</v>
      </c>
      <c r="F9" s="53">
        <f t="shared" si="0"/>
        <v>386464</v>
      </c>
      <c r="G9" s="53">
        <f t="shared" si="0"/>
        <v>0</v>
      </c>
      <c r="H9" s="53">
        <f t="shared" si="0"/>
        <v>1001077199</v>
      </c>
      <c r="I9" s="53">
        <f t="shared" si="0"/>
        <v>886779957</v>
      </c>
      <c r="J9" s="53">
        <f t="shared" si="0"/>
        <v>19827773</v>
      </c>
      <c r="K9" s="53">
        <f t="shared" si="0"/>
        <v>11927598</v>
      </c>
      <c r="L9" s="53">
        <f t="shared" si="0"/>
        <v>7808261</v>
      </c>
      <c r="M9" s="53">
        <f t="shared" si="0"/>
        <v>91914</v>
      </c>
      <c r="N9" s="53">
        <f t="shared" si="0"/>
        <v>866745388</v>
      </c>
      <c r="O9" s="53">
        <f t="shared" si="0"/>
        <v>0</v>
      </c>
      <c r="P9" s="53">
        <f t="shared" si="0"/>
        <v>206796</v>
      </c>
      <c r="Q9" s="53">
        <f t="shared" si="0"/>
        <v>113285184</v>
      </c>
      <c r="R9" s="53">
        <f t="shared" si="0"/>
        <v>0</v>
      </c>
      <c r="S9" s="53">
        <f t="shared" si="0"/>
        <v>1012058</v>
      </c>
      <c r="T9" s="53">
        <f t="shared" si="0"/>
        <v>981248926</v>
      </c>
      <c r="U9" s="54">
        <f aca="true" t="shared" si="1" ref="U9:U48">IF(I9&lt;&gt;0,J9/I9,"")</f>
        <v>0.022359293129580734</v>
      </c>
      <c r="V9" s="84">
        <f>IF(H9=C9-F9-G9,H9,"KT lai")</f>
        <v>1001077199</v>
      </c>
      <c r="W9" s="86">
        <f>I9+Q9+R9+S9</f>
        <v>1001077199</v>
      </c>
      <c r="X9" s="86">
        <f>V9-W9</f>
        <v>0</v>
      </c>
    </row>
    <row r="10" spans="1:24" s="60" customFormat="1" ht="24" customHeight="1">
      <c r="A10" s="61" t="s">
        <v>46</v>
      </c>
      <c r="B10" s="56" t="s">
        <v>90</v>
      </c>
      <c r="C10" s="57">
        <f aca="true" t="shared" si="2" ref="C10:C48">D10+E10</f>
        <v>655401354</v>
      </c>
      <c r="D10" s="58">
        <f>SUM(D11:D15)</f>
        <v>644808281</v>
      </c>
      <c r="E10" s="58">
        <f aca="true" t="shared" si="3" ref="E10:T10">SUM(E11:E15)</f>
        <v>10593073</v>
      </c>
      <c r="F10" s="58">
        <f t="shared" si="3"/>
        <v>5264</v>
      </c>
      <c r="G10" s="58">
        <f t="shared" si="3"/>
        <v>0</v>
      </c>
      <c r="H10" s="58">
        <f t="shared" si="3"/>
        <v>655396090</v>
      </c>
      <c r="I10" s="58">
        <f t="shared" si="3"/>
        <v>647846572</v>
      </c>
      <c r="J10" s="58">
        <f t="shared" si="3"/>
        <v>1461267</v>
      </c>
      <c r="K10" s="58">
        <f t="shared" si="3"/>
        <v>1461267</v>
      </c>
      <c r="L10" s="58">
        <f t="shared" si="3"/>
        <v>0</v>
      </c>
      <c r="M10" s="58">
        <f t="shared" si="3"/>
        <v>0</v>
      </c>
      <c r="N10" s="58">
        <f t="shared" si="3"/>
        <v>646385305</v>
      </c>
      <c r="O10" s="58">
        <f t="shared" si="3"/>
        <v>0</v>
      </c>
      <c r="P10" s="58">
        <f t="shared" si="3"/>
        <v>0</v>
      </c>
      <c r="Q10" s="58">
        <f t="shared" si="3"/>
        <v>7406339</v>
      </c>
      <c r="R10" s="58">
        <f t="shared" si="3"/>
        <v>0</v>
      </c>
      <c r="S10" s="58">
        <f t="shared" si="3"/>
        <v>143179</v>
      </c>
      <c r="T10" s="58">
        <f t="shared" si="3"/>
        <v>653934823</v>
      </c>
      <c r="U10" s="59">
        <f t="shared" si="1"/>
        <v>0.0022555757229506495</v>
      </c>
      <c r="V10" s="84">
        <f>IF(H10=C10-F10-G10,H10,"KT lai")</f>
        <v>655396090</v>
      </c>
      <c r="W10" s="86">
        <f>I10+Q10+R10+S10</f>
        <v>655396090</v>
      </c>
      <c r="X10" s="86">
        <f>V10-W10</f>
        <v>0</v>
      </c>
    </row>
    <row r="11" spans="1:24" s="14" customFormat="1" ht="13.5" customHeight="1">
      <c r="A11" s="37">
        <v>1.1</v>
      </c>
      <c r="B11" s="38" t="s">
        <v>47</v>
      </c>
      <c r="C11" s="52">
        <f t="shared" si="2"/>
        <v>5346460</v>
      </c>
      <c r="D11" s="103">
        <f>'[2]05 Quy'!D11</f>
        <v>5049798</v>
      </c>
      <c r="E11" s="106">
        <v>296662</v>
      </c>
      <c r="F11" s="106">
        <v>0</v>
      </c>
      <c r="G11" s="106">
        <v>0</v>
      </c>
      <c r="H11" s="52">
        <f aca="true" t="shared" si="4" ref="H11:H48">C11-G11-F11</f>
        <v>5346460</v>
      </c>
      <c r="I11" s="52">
        <f aca="true" t="shared" si="5" ref="I11:I48">K11+L11+M11+N11+O11+P11</f>
        <v>4747589</v>
      </c>
      <c r="J11" s="52">
        <f aca="true" t="shared" si="6" ref="J11:J48">K11+L11+M11</f>
        <v>189632</v>
      </c>
      <c r="K11" s="106">
        <v>189632</v>
      </c>
      <c r="L11" s="106">
        <v>0</v>
      </c>
      <c r="M11" s="106">
        <v>0</v>
      </c>
      <c r="N11" s="105">
        <v>4557957</v>
      </c>
      <c r="O11" s="106">
        <v>0</v>
      </c>
      <c r="P11" s="51">
        <v>0</v>
      </c>
      <c r="Q11" s="103">
        <f>'[2]05 Quy'!Q11</f>
        <v>598871</v>
      </c>
      <c r="R11" s="51">
        <v>0</v>
      </c>
      <c r="S11" s="51">
        <v>0</v>
      </c>
      <c r="T11" s="52">
        <f aca="true" t="shared" si="7" ref="T11:T48">SUM(N11:S11)</f>
        <v>5156828</v>
      </c>
      <c r="U11" s="54">
        <f t="shared" si="1"/>
        <v>0.03994280044039195</v>
      </c>
      <c r="V11" s="84">
        <f aca="true" t="shared" si="8" ref="V11:V48">IF(H11=C11-F11-G11,H11,"KT lai")</f>
        <v>5346460</v>
      </c>
      <c r="W11" s="86">
        <f aca="true" t="shared" si="9" ref="W11:W48">I11+Q11+R11+S11</f>
        <v>5346460</v>
      </c>
      <c r="X11" s="86">
        <f aca="true" t="shared" si="10" ref="X11:X48">V11-W11</f>
        <v>0</v>
      </c>
    </row>
    <row r="12" spans="1:24" s="14" customFormat="1" ht="13.5" customHeight="1">
      <c r="A12" s="37">
        <v>1.2</v>
      </c>
      <c r="B12" s="38" t="s">
        <v>48</v>
      </c>
      <c r="C12" s="52">
        <f t="shared" si="2"/>
        <v>8350282</v>
      </c>
      <c r="D12" s="103">
        <f>'[2]05 Nhung'!D11</f>
        <v>6799248</v>
      </c>
      <c r="E12" s="106">
        <v>1551034</v>
      </c>
      <c r="F12" s="106">
        <v>0</v>
      </c>
      <c r="G12" s="106">
        <v>0</v>
      </c>
      <c r="H12" s="52">
        <f t="shared" si="4"/>
        <v>8350282</v>
      </c>
      <c r="I12" s="52">
        <f t="shared" si="5"/>
        <v>2783752</v>
      </c>
      <c r="J12" s="52">
        <f t="shared" si="6"/>
        <v>1111274</v>
      </c>
      <c r="K12" s="106">
        <v>1111274</v>
      </c>
      <c r="L12" s="106">
        <v>0</v>
      </c>
      <c r="M12" s="106">
        <v>0</v>
      </c>
      <c r="N12" s="105">
        <f>1079353+593125</f>
        <v>1672478</v>
      </c>
      <c r="O12" s="106">
        <v>0</v>
      </c>
      <c r="P12" s="51">
        <v>0</v>
      </c>
      <c r="Q12" s="103">
        <f>'[2]05 Nhung'!Q11</f>
        <v>5566530</v>
      </c>
      <c r="R12" s="51">
        <v>0</v>
      </c>
      <c r="S12" s="51">
        <v>0</v>
      </c>
      <c r="T12" s="52">
        <f t="shared" si="7"/>
        <v>7239008</v>
      </c>
      <c r="U12" s="54">
        <f t="shared" si="1"/>
        <v>0.39920007242024436</v>
      </c>
      <c r="V12" s="84">
        <f t="shared" si="8"/>
        <v>8350282</v>
      </c>
      <c r="W12" s="86">
        <f t="shared" si="9"/>
        <v>8350282</v>
      </c>
      <c r="X12" s="86">
        <f t="shared" si="10"/>
        <v>0</v>
      </c>
    </row>
    <row r="13" spans="1:24" s="14" customFormat="1" ht="13.5" customHeight="1">
      <c r="A13" s="37">
        <v>1.3</v>
      </c>
      <c r="B13" s="38" t="s">
        <v>49</v>
      </c>
      <c r="C13" s="52">
        <f t="shared" si="2"/>
        <v>3212161</v>
      </c>
      <c r="D13" s="103">
        <f>'[2]05 Phuong'!D11</f>
        <v>1547842</v>
      </c>
      <c r="E13" s="106">
        <v>1664319</v>
      </c>
      <c r="F13" s="106">
        <v>0</v>
      </c>
      <c r="G13" s="106">
        <v>0</v>
      </c>
      <c r="H13" s="52">
        <f t="shared" si="4"/>
        <v>3212161</v>
      </c>
      <c r="I13" s="52">
        <f t="shared" si="5"/>
        <v>1889389</v>
      </c>
      <c r="J13" s="52">
        <f t="shared" si="6"/>
        <v>14463</v>
      </c>
      <c r="K13" s="106">
        <v>14463</v>
      </c>
      <c r="L13" s="106">
        <v>0</v>
      </c>
      <c r="M13" s="106">
        <v>0</v>
      </c>
      <c r="N13" s="105">
        <v>1874926</v>
      </c>
      <c r="O13" s="106">
        <v>0</v>
      </c>
      <c r="P13" s="51">
        <v>0</v>
      </c>
      <c r="Q13" s="103">
        <f>'[2]05 Phuong'!Q11</f>
        <v>1179593</v>
      </c>
      <c r="R13" s="51">
        <v>0</v>
      </c>
      <c r="S13" s="51">
        <v>143179</v>
      </c>
      <c r="T13" s="52">
        <f t="shared" si="7"/>
        <v>3197698</v>
      </c>
      <c r="U13" s="54">
        <f t="shared" si="1"/>
        <v>0.007654855617345078</v>
      </c>
      <c r="V13" s="84">
        <f t="shared" si="8"/>
        <v>3212161</v>
      </c>
      <c r="W13" s="86">
        <f t="shared" si="9"/>
        <v>3212161</v>
      </c>
      <c r="X13" s="86">
        <f t="shared" si="10"/>
        <v>0</v>
      </c>
    </row>
    <row r="14" spans="1:24" s="14" customFormat="1" ht="13.5" customHeight="1">
      <c r="A14" s="37">
        <v>1.4</v>
      </c>
      <c r="B14" s="38" t="s">
        <v>77</v>
      </c>
      <c r="C14" s="52">
        <f>D14+E14</f>
        <v>638378935</v>
      </c>
      <c r="D14" s="103">
        <f>'[2]05 Hiep'!D11</f>
        <v>631350048</v>
      </c>
      <c r="E14" s="106">
        <v>7028887</v>
      </c>
      <c r="F14" s="106">
        <v>5264</v>
      </c>
      <c r="G14" s="106">
        <v>0</v>
      </c>
      <c r="H14" s="52">
        <f>C14-G14-F14</f>
        <v>638373671</v>
      </c>
      <c r="I14" s="52">
        <f t="shared" si="5"/>
        <v>638373671</v>
      </c>
      <c r="J14" s="52">
        <f>K14+L14+M14</f>
        <v>99127</v>
      </c>
      <c r="K14" s="106">
        <v>99127</v>
      </c>
      <c r="L14" s="106">
        <v>0</v>
      </c>
      <c r="M14" s="106">
        <v>0</v>
      </c>
      <c r="N14" s="105">
        <v>638274544</v>
      </c>
      <c r="O14" s="106">
        <v>0</v>
      </c>
      <c r="P14" s="51">
        <v>0</v>
      </c>
      <c r="Q14" s="103">
        <f>'[2]05 Hiep'!Q11</f>
        <v>0</v>
      </c>
      <c r="R14" s="51">
        <v>0</v>
      </c>
      <c r="S14" s="51">
        <v>0</v>
      </c>
      <c r="T14" s="52">
        <f>SUM(N14:S14)</f>
        <v>638274544</v>
      </c>
      <c r="U14" s="54">
        <f>IF(I14&lt;&gt;0,J14/I14,"")</f>
        <v>0.00015528052691258314</v>
      </c>
      <c r="V14" s="84">
        <f>IF(H14=C14-F14-G14,H14,"KT lai")</f>
        <v>638373671</v>
      </c>
      <c r="W14" s="86">
        <f>I14+Q14+R14+S14</f>
        <v>638373671</v>
      </c>
      <c r="X14" s="86">
        <f>V14-W14</f>
        <v>0</v>
      </c>
    </row>
    <row r="15" spans="1:24" s="14" customFormat="1" ht="13.5" customHeight="1">
      <c r="A15" s="37">
        <v>1.5</v>
      </c>
      <c r="B15" s="38" t="s">
        <v>70</v>
      </c>
      <c r="C15" s="52">
        <f t="shared" si="2"/>
        <v>113516</v>
      </c>
      <c r="D15" s="104">
        <f>'[2]05 hoan'!D11</f>
        <v>61345</v>
      </c>
      <c r="E15" s="106">
        <v>52171</v>
      </c>
      <c r="F15" s="106">
        <v>0</v>
      </c>
      <c r="G15" s="106">
        <v>0</v>
      </c>
      <c r="H15" s="52">
        <f t="shared" si="4"/>
        <v>113516</v>
      </c>
      <c r="I15" s="52">
        <f t="shared" si="5"/>
        <v>52171</v>
      </c>
      <c r="J15" s="52">
        <f t="shared" si="6"/>
        <v>46771</v>
      </c>
      <c r="K15" s="106">
        <v>46771</v>
      </c>
      <c r="L15" s="106">
        <v>0</v>
      </c>
      <c r="M15" s="106">
        <v>0</v>
      </c>
      <c r="N15" s="105">
        <v>5400</v>
      </c>
      <c r="O15" s="106">
        <v>0</v>
      </c>
      <c r="P15" s="51">
        <v>0</v>
      </c>
      <c r="Q15" s="104">
        <f>'[2]05 hoan'!Q11</f>
        <v>61345</v>
      </c>
      <c r="R15" s="51">
        <v>0</v>
      </c>
      <c r="S15" s="51">
        <v>0</v>
      </c>
      <c r="T15" s="52">
        <f t="shared" si="7"/>
        <v>66745</v>
      </c>
      <c r="U15" s="54">
        <f>IF(I15&lt;&gt;0,J15/I15,"")</f>
        <v>0.8964942209273351</v>
      </c>
      <c r="V15" s="84">
        <f t="shared" si="8"/>
        <v>113516</v>
      </c>
      <c r="W15" s="86">
        <f t="shared" si="9"/>
        <v>113516</v>
      </c>
      <c r="X15" s="86">
        <f t="shared" si="10"/>
        <v>0</v>
      </c>
    </row>
    <row r="16" spans="1:24" s="60" customFormat="1" ht="33" customHeight="1">
      <c r="A16" s="61" t="s">
        <v>50</v>
      </c>
      <c r="B16" s="56" t="s">
        <v>51</v>
      </c>
      <c r="C16" s="57">
        <f t="shared" si="2"/>
        <v>346062309</v>
      </c>
      <c r="D16" s="58">
        <f>D17+D22+D27+D32+D38+D43</f>
        <v>152457376</v>
      </c>
      <c r="E16" s="58">
        <f aca="true" t="shared" si="11" ref="E16:O16">E17+E22+E27+E32+E38+E43</f>
        <v>193604933</v>
      </c>
      <c r="F16" s="58">
        <f t="shared" si="11"/>
        <v>381200</v>
      </c>
      <c r="G16" s="58">
        <f t="shared" si="11"/>
        <v>0</v>
      </c>
      <c r="H16" s="58">
        <f t="shared" si="11"/>
        <v>345681109</v>
      </c>
      <c r="I16" s="58">
        <f t="shared" si="11"/>
        <v>238933385</v>
      </c>
      <c r="J16" s="58">
        <f t="shared" si="11"/>
        <v>18366506</v>
      </c>
      <c r="K16" s="58">
        <f t="shared" si="11"/>
        <v>10466331</v>
      </c>
      <c r="L16" s="58">
        <f t="shared" si="11"/>
        <v>7808261</v>
      </c>
      <c r="M16" s="58">
        <f t="shared" si="11"/>
        <v>91914</v>
      </c>
      <c r="N16" s="58">
        <f t="shared" si="11"/>
        <v>220360083</v>
      </c>
      <c r="O16" s="58">
        <f t="shared" si="11"/>
        <v>0</v>
      </c>
      <c r="P16" s="101">
        <f>SUM(P17,P22,P27,P32,P38,P43)</f>
        <v>206796</v>
      </c>
      <c r="Q16" s="58">
        <f>Q17+Q22+Q27+Q32+Q38+Q43</f>
        <v>105878845</v>
      </c>
      <c r="R16" s="58">
        <f>R17+R22+R27+R32+R38+R43</f>
        <v>0</v>
      </c>
      <c r="S16" s="101">
        <f>SUM(S17,S22,S27,S32,S38,S43)</f>
        <v>868879</v>
      </c>
      <c r="T16" s="58">
        <f>T17+T22+T27+T32+T38+T43</f>
        <v>327314103</v>
      </c>
      <c r="U16" s="59">
        <f t="shared" si="1"/>
        <v>0.07686873058781635</v>
      </c>
      <c r="V16" s="84">
        <f t="shared" si="8"/>
        <v>345681109</v>
      </c>
      <c r="W16" s="86">
        <f t="shared" si="9"/>
        <v>345681109</v>
      </c>
      <c r="X16" s="86">
        <f t="shared" si="10"/>
        <v>0</v>
      </c>
    </row>
    <row r="17" spans="1:24" s="60" customFormat="1" ht="23.25" customHeight="1">
      <c r="A17" s="55">
        <v>1</v>
      </c>
      <c r="B17" s="56" t="s">
        <v>52</v>
      </c>
      <c r="C17" s="57">
        <f t="shared" si="2"/>
        <v>8548157</v>
      </c>
      <c r="D17" s="58">
        <f>SUM(D18:D21)</f>
        <v>5462545</v>
      </c>
      <c r="E17" s="58">
        <f aca="true" t="shared" si="12" ref="E17:O17">SUM(E18:E21)</f>
        <v>3085612</v>
      </c>
      <c r="F17" s="58">
        <f t="shared" si="12"/>
        <v>258001</v>
      </c>
      <c r="G17" s="58">
        <f t="shared" si="12"/>
        <v>0</v>
      </c>
      <c r="H17" s="58">
        <f t="shared" si="12"/>
        <v>8290156</v>
      </c>
      <c r="I17" s="58">
        <f t="shared" si="12"/>
        <v>6683762</v>
      </c>
      <c r="J17" s="58">
        <f t="shared" si="12"/>
        <v>1796704</v>
      </c>
      <c r="K17" s="58">
        <f t="shared" si="12"/>
        <v>1796704</v>
      </c>
      <c r="L17" s="58">
        <f t="shared" si="12"/>
        <v>0</v>
      </c>
      <c r="M17" s="58">
        <f t="shared" si="12"/>
        <v>0</v>
      </c>
      <c r="N17" s="58">
        <f t="shared" si="12"/>
        <v>4682748</v>
      </c>
      <c r="O17" s="58">
        <f t="shared" si="12"/>
        <v>0</v>
      </c>
      <c r="P17" s="101">
        <f>SUM(P18:P21)</f>
        <v>204310</v>
      </c>
      <c r="Q17" s="58">
        <f>SUM(Q18:Q21)</f>
        <v>1606394</v>
      </c>
      <c r="R17" s="58">
        <f>SUM(R18:R21)</f>
        <v>0</v>
      </c>
      <c r="S17" s="101">
        <f>SUM(S18:S21)</f>
        <v>0</v>
      </c>
      <c r="T17" s="58">
        <f>SUM(T18:T21)</f>
        <v>6493452</v>
      </c>
      <c r="U17" s="59">
        <f t="shared" si="1"/>
        <v>0.2688162744274856</v>
      </c>
      <c r="V17" s="84">
        <f t="shared" si="8"/>
        <v>8290156</v>
      </c>
      <c r="W17" s="86">
        <f t="shared" si="9"/>
        <v>8290156</v>
      </c>
      <c r="X17" s="86">
        <f t="shared" si="10"/>
        <v>0</v>
      </c>
    </row>
    <row r="18" spans="1:24" s="14" customFormat="1" ht="22.5" customHeight="1">
      <c r="A18" s="37">
        <v>1.1</v>
      </c>
      <c r="B18" s="38" t="s">
        <v>53</v>
      </c>
      <c r="C18" s="52">
        <f t="shared" si="2"/>
        <v>2993171</v>
      </c>
      <c r="D18" s="109">
        <f>2215177</f>
        <v>2215177</v>
      </c>
      <c r="E18" s="106">
        <v>777994</v>
      </c>
      <c r="F18" s="106">
        <v>0</v>
      </c>
      <c r="G18" s="106">
        <v>0</v>
      </c>
      <c r="H18" s="52">
        <f t="shared" si="4"/>
        <v>2993171</v>
      </c>
      <c r="I18" s="52">
        <f t="shared" si="5"/>
        <v>2137819</v>
      </c>
      <c r="J18" s="52">
        <f t="shared" si="6"/>
        <v>726198</v>
      </c>
      <c r="K18" s="106">
        <v>726198</v>
      </c>
      <c r="L18" s="106">
        <v>0</v>
      </c>
      <c r="M18" s="106">
        <v>0</v>
      </c>
      <c r="N18" s="105">
        <v>1226372</v>
      </c>
      <c r="O18" s="106">
        <v>0</v>
      </c>
      <c r="P18" s="51">
        <v>185249</v>
      </c>
      <c r="Q18" s="110">
        <v>855352</v>
      </c>
      <c r="R18" s="51">
        <v>0</v>
      </c>
      <c r="S18" s="51">
        <v>0</v>
      </c>
      <c r="T18" s="52">
        <f t="shared" si="7"/>
        <v>2266973</v>
      </c>
      <c r="U18" s="54">
        <f t="shared" si="1"/>
        <v>0.33969105897178387</v>
      </c>
      <c r="V18" s="84">
        <f t="shared" si="8"/>
        <v>2993171</v>
      </c>
      <c r="W18" s="86">
        <f t="shared" si="9"/>
        <v>2993171</v>
      </c>
      <c r="X18" s="86">
        <f t="shared" si="10"/>
        <v>0</v>
      </c>
    </row>
    <row r="19" spans="1:24" s="14" customFormat="1" ht="13.5" customHeight="1">
      <c r="A19" s="37">
        <v>1.2</v>
      </c>
      <c r="B19" s="38" t="s">
        <v>54</v>
      </c>
      <c r="C19" s="52">
        <f t="shared" si="2"/>
        <v>2462625</v>
      </c>
      <c r="D19" s="109">
        <v>1324565</v>
      </c>
      <c r="E19" s="106">
        <v>1138060</v>
      </c>
      <c r="F19" s="106">
        <v>258001</v>
      </c>
      <c r="G19" s="106">
        <v>0</v>
      </c>
      <c r="H19" s="52">
        <f t="shared" si="4"/>
        <v>2204624</v>
      </c>
      <c r="I19" s="52">
        <f t="shared" si="5"/>
        <v>1813929</v>
      </c>
      <c r="J19" s="52">
        <f t="shared" si="6"/>
        <v>151361</v>
      </c>
      <c r="K19" s="106">
        <v>151361</v>
      </c>
      <c r="L19" s="106">
        <v>0</v>
      </c>
      <c r="M19" s="106">
        <v>0</v>
      </c>
      <c r="N19" s="105">
        <v>1662568</v>
      </c>
      <c r="O19" s="106">
        <v>0</v>
      </c>
      <c r="P19" s="51">
        <v>0</v>
      </c>
      <c r="Q19" s="110">
        <v>390695</v>
      </c>
      <c r="R19" s="51">
        <v>0</v>
      </c>
      <c r="S19" s="51">
        <v>0</v>
      </c>
      <c r="T19" s="52">
        <f t="shared" si="7"/>
        <v>2053263</v>
      </c>
      <c r="U19" s="54">
        <f t="shared" si="1"/>
        <v>0.0834437290544448</v>
      </c>
      <c r="V19" s="84">
        <f t="shared" si="8"/>
        <v>2204624</v>
      </c>
      <c r="W19" s="86">
        <f t="shared" si="9"/>
        <v>2204624</v>
      </c>
      <c r="X19" s="86">
        <f t="shared" si="10"/>
        <v>0</v>
      </c>
    </row>
    <row r="20" spans="1:24" s="14" customFormat="1" ht="13.5" customHeight="1">
      <c r="A20" s="37">
        <v>1.3</v>
      </c>
      <c r="B20" s="38" t="s">
        <v>55</v>
      </c>
      <c r="C20" s="52">
        <f t="shared" si="2"/>
        <v>2917789</v>
      </c>
      <c r="D20" s="109">
        <v>1854307</v>
      </c>
      <c r="E20" s="106">
        <v>1063482</v>
      </c>
      <c r="F20" s="106">
        <v>0</v>
      </c>
      <c r="G20" s="106">
        <v>0</v>
      </c>
      <c r="H20" s="52">
        <f t="shared" si="4"/>
        <v>2917789</v>
      </c>
      <c r="I20" s="52">
        <f t="shared" si="5"/>
        <v>2597680</v>
      </c>
      <c r="J20" s="52">
        <f t="shared" si="6"/>
        <v>813062</v>
      </c>
      <c r="K20" s="106">
        <v>813062</v>
      </c>
      <c r="L20" s="106">
        <v>0</v>
      </c>
      <c r="M20" s="106">
        <v>0</v>
      </c>
      <c r="N20" s="105">
        <v>1765557</v>
      </c>
      <c r="O20" s="106">
        <v>0</v>
      </c>
      <c r="P20" s="51">
        <v>19061</v>
      </c>
      <c r="Q20" s="110">
        <v>320109</v>
      </c>
      <c r="R20" s="51">
        <v>0</v>
      </c>
      <c r="S20" s="51">
        <v>0</v>
      </c>
      <c r="T20" s="52">
        <f t="shared" si="7"/>
        <v>2104727</v>
      </c>
      <c r="U20" s="54">
        <f t="shared" si="1"/>
        <v>0.31299544208678515</v>
      </c>
      <c r="V20" s="84">
        <f t="shared" si="8"/>
        <v>2917789</v>
      </c>
      <c r="W20" s="86">
        <f t="shared" si="9"/>
        <v>2917789</v>
      </c>
      <c r="X20" s="86">
        <f t="shared" si="10"/>
        <v>0</v>
      </c>
    </row>
    <row r="21" spans="1:24" s="14" customFormat="1" ht="13.5" customHeight="1">
      <c r="A21" s="37">
        <v>1.4</v>
      </c>
      <c r="B21" s="38" t="s">
        <v>56</v>
      </c>
      <c r="C21" s="52">
        <f t="shared" si="2"/>
        <v>174572</v>
      </c>
      <c r="D21" s="110">
        <v>68496</v>
      </c>
      <c r="E21" s="106">
        <v>106076</v>
      </c>
      <c r="F21" s="106">
        <v>0</v>
      </c>
      <c r="G21" s="106">
        <v>0</v>
      </c>
      <c r="H21" s="52">
        <f t="shared" si="4"/>
        <v>174572</v>
      </c>
      <c r="I21" s="52">
        <f t="shared" si="5"/>
        <v>134334</v>
      </c>
      <c r="J21" s="52">
        <f t="shared" si="6"/>
        <v>106083</v>
      </c>
      <c r="K21" s="106">
        <v>106083</v>
      </c>
      <c r="L21" s="106">
        <v>0</v>
      </c>
      <c r="M21" s="106">
        <v>0</v>
      </c>
      <c r="N21" s="105">
        <v>28251</v>
      </c>
      <c r="O21" s="106">
        <v>0</v>
      </c>
      <c r="P21" s="51">
        <v>0</v>
      </c>
      <c r="Q21" s="110">
        <v>40238</v>
      </c>
      <c r="R21" s="51">
        <v>0</v>
      </c>
      <c r="S21" s="51">
        <v>0</v>
      </c>
      <c r="T21" s="52">
        <f t="shared" si="7"/>
        <v>68489</v>
      </c>
      <c r="U21" s="54">
        <f t="shared" si="1"/>
        <v>0.7896958327750234</v>
      </c>
      <c r="V21" s="84">
        <f t="shared" si="8"/>
        <v>174572</v>
      </c>
      <c r="W21" s="86">
        <f t="shared" si="9"/>
        <v>174572</v>
      </c>
      <c r="X21" s="86">
        <f t="shared" si="10"/>
        <v>0</v>
      </c>
    </row>
    <row r="22" spans="1:24" s="60" customFormat="1" ht="23.25" customHeight="1">
      <c r="A22" s="55">
        <v>2</v>
      </c>
      <c r="B22" s="56" t="s">
        <v>57</v>
      </c>
      <c r="C22" s="57">
        <f t="shared" si="2"/>
        <v>166361634</v>
      </c>
      <c r="D22" s="58">
        <f aca="true" t="shared" si="13" ref="D22:T22">SUM(D23:D26)</f>
        <v>37476455</v>
      </c>
      <c r="E22" s="58">
        <f t="shared" si="13"/>
        <v>128885179</v>
      </c>
      <c r="F22" s="58">
        <f t="shared" si="13"/>
        <v>0</v>
      </c>
      <c r="G22" s="58">
        <f t="shared" si="13"/>
        <v>0</v>
      </c>
      <c r="H22" s="58">
        <f t="shared" si="13"/>
        <v>166361634</v>
      </c>
      <c r="I22" s="58">
        <f t="shared" si="13"/>
        <v>130069181</v>
      </c>
      <c r="J22" s="58">
        <f t="shared" si="13"/>
        <v>244034</v>
      </c>
      <c r="K22" s="58">
        <f t="shared" si="13"/>
        <v>244034</v>
      </c>
      <c r="L22" s="58">
        <f t="shared" si="13"/>
        <v>0</v>
      </c>
      <c r="M22" s="58">
        <f t="shared" si="13"/>
        <v>0</v>
      </c>
      <c r="N22" s="58">
        <f t="shared" si="13"/>
        <v>129825147</v>
      </c>
      <c r="O22" s="58">
        <f t="shared" si="13"/>
        <v>0</v>
      </c>
      <c r="P22" s="101">
        <f t="shared" si="13"/>
        <v>0</v>
      </c>
      <c r="Q22" s="58">
        <f t="shared" si="13"/>
        <v>36292453</v>
      </c>
      <c r="R22" s="58">
        <f t="shared" si="13"/>
        <v>0</v>
      </c>
      <c r="S22" s="101">
        <f t="shared" si="13"/>
        <v>0</v>
      </c>
      <c r="T22" s="58">
        <f t="shared" si="13"/>
        <v>166117600</v>
      </c>
      <c r="U22" s="59">
        <f t="shared" si="1"/>
        <v>0.0018761861812599558</v>
      </c>
      <c r="V22" s="84">
        <f t="shared" si="8"/>
        <v>166361634</v>
      </c>
      <c r="W22" s="86">
        <f t="shared" si="9"/>
        <v>166361634</v>
      </c>
      <c r="X22" s="86">
        <f t="shared" si="10"/>
        <v>0</v>
      </c>
    </row>
    <row r="23" spans="1:24" s="14" customFormat="1" ht="22.5" customHeight="1">
      <c r="A23" s="37">
        <v>2.1</v>
      </c>
      <c r="B23" s="38" t="s">
        <v>59</v>
      </c>
      <c r="C23" s="52">
        <f t="shared" si="2"/>
        <v>164270401</v>
      </c>
      <c r="D23" s="111">
        <v>35908460</v>
      </c>
      <c r="E23" s="106">
        <v>128361941</v>
      </c>
      <c r="F23" s="106">
        <v>0</v>
      </c>
      <c r="G23" s="106">
        <v>0</v>
      </c>
      <c r="H23" s="52">
        <f t="shared" si="4"/>
        <v>164270401</v>
      </c>
      <c r="I23" s="52">
        <f t="shared" si="5"/>
        <v>129376449</v>
      </c>
      <c r="J23" s="52">
        <f t="shared" si="6"/>
        <v>104955</v>
      </c>
      <c r="K23" s="106">
        <v>104955</v>
      </c>
      <c r="L23" s="106">
        <v>0</v>
      </c>
      <c r="M23" s="106">
        <v>0</v>
      </c>
      <c r="N23" s="105">
        <v>129271494</v>
      </c>
      <c r="O23" s="106">
        <v>0</v>
      </c>
      <c r="P23" s="51">
        <v>0</v>
      </c>
      <c r="Q23" s="111">
        <v>34893952</v>
      </c>
      <c r="R23" s="51">
        <v>0</v>
      </c>
      <c r="S23" s="51">
        <v>0</v>
      </c>
      <c r="T23" s="52">
        <f t="shared" si="7"/>
        <v>164165446</v>
      </c>
      <c r="U23" s="54">
        <f t="shared" si="1"/>
        <v>0.0008112372909539356</v>
      </c>
      <c r="V23" s="84">
        <f t="shared" si="8"/>
        <v>164270401</v>
      </c>
      <c r="W23" s="86">
        <f t="shared" si="9"/>
        <v>164270401</v>
      </c>
      <c r="X23" s="86">
        <f t="shared" si="10"/>
        <v>0</v>
      </c>
    </row>
    <row r="24" spans="1:24" s="14" customFormat="1" ht="13.5" customHeight="1">
      <c r="A24" s="37">
        <v>2.2</v>
      </c>
      <c r="B24" s="38" t="s">
        <v>60</v>
      </c>
      <c r="C24" s="52">
        <f t="shared" si="2"/>
        <v>594093</v>
      </c>
      <c r="D24" s="111">
        <v>149777</v>
      </c>
      <c r="E24" s="106">
        <v>444316</v>
      </c>
      <c r="F24" s="106">
        <v>0</v>
      </c>
      <c r="G24" s="106">
        <v>0</v>
      </c>
      <c r="H24" s="52">
        <f t="shared" si="4"/>
        <v>594093</v>
      </c>
      <c r="I24" s="52">
        <f t="shared" si="5"/>
        <v>526586</v>
      </c>
      <c r="J24" s="52">
        <f t="shared" si="6"/>
        <v>69395</v>
      </c>
      <c r="K24" s="106">
        <v>69395</v>
      </c>
      <c r="L24" s="106">
        <v>0</v>
      </c>
      <c r="M24" s="106">
        <v>0</v>
      </c>
      <c r="N24" s="105">
        <f>457380-189</f>
        <v>457191</v>
      </c>
      <c r="O24" s="106">
        <v>0</v>
      </c>
      <c r="P24" s="51">
        <v>0</v>
      </c>
      <c r="Q24" s="111">
        <v>67507</v>
      </c>
      <c r="R24" s="51">
        <v>0</v>
      </c>
      <c r="S24" s="51">
        <v>0</v>
      </c>
      <c r="T24" s="52">
        <f t="shared" si="7"/>
        <v>524698</v>
      </c>
      <c r="U24" s="54">
        <f t="shared" si="1"/>
        <v>0.1317828426885637</v>
      </c>
      <c r="V24" s="84">
        <f t="shared" si="8"/>
        <v>594093</v>
      </c>
      <c r="W24" s="86">
        <f t="shared" si="9"/>
        <v>594093</v>
      </c>
      <c r="X24" s="86">
        <f t="shared" si="10"/>
        <v>0</v>
      </c>
    </row>
    <row r="25" spans="1:24" s="14" customFormat="1" ht="13.5" customHeight="1">
      <c r="A25" s="37">
        <v>2.3</v>
      </c>
      <c r="B25" s="38" t="s">
        <v>61</v>
      </c>
      <c r="C25" s="52">
        <f t="shared" si="2"/>
        <v>1495340</v>
      </c>
      <c r="D25" s="111">
        <v>1418218</v>
      </c>
      <c r="E25" s="106">
        <v>77122</v>
      </c>
      <c r="F25" s="106">
        <v>0</v>
      </c>
      <c r="G25" s="106">
        <v>0</v>
      </c>
      <c r="H25" s="52">
        <f t="shared" si="4"/>
        <v>1495340</v>
      </c>
      <c r="I25" s="52">
        <f t="shared" si="5"/>
        <v>164346</v>
      </c>
      <c r="J25" s="52">
        <f t="shared" si="6"/>
        <v>67884</v>
      </c>
      <c r="K25" s="106">
        <v>67884</v>
      </c>
      <c r="L25" s="106">
        <v>0</v>
      </c>
      <c r="M25" s="106">
        <v>0</v>
      </c>
      <c r="N25" s="105">
        <v>96462</v>
      </c>
      <c r="O25" s="106">
        <v>0</v>
      </c>
      <c r="P25" s="51">
        <v>0</v>
      </c>
      <c r="Q25" s="111">
        <v>1330994</v>
      </c>
      <c r="R25" s="51">
        <v>0</v>
      </c>
      <c r="S25" s="51">
        <v>0</v>
      </c>
      <c r="T25" s="52">
        <f t="shared" si="7"/>
        <v>1427456</v>
      </c>
      <c r="U25" s="54">
        <f t="shared" si="1"/>
        <v>0.4130553831550509</v>
      </c>
      <c r="V25" s="84">
        <f t="shared" si="8"/>
        <v>1495340</v>
      </c>
      <c r="W25" s="86">
        <f t="shared" si="9"/>
        <v>1495340</v>
      </c>
      <c r="X25" s="86">
        <f t="shared" si="10"/>
        <v>0</v>
      </c>
    </row>
    <row r="26" spans="1:24" s="14" customFormat="1" ht="13.5" customHeight="1">
      <c r="A26" s="37">
        <v>2.4</v>
      </c>
      <c r="B26" s="38" t="s">
        <v>81</v>
      </c>
      <c r="C26" s="52">
        <f t="shared" si="2"/>
        <v>1800</v>
      </c>
      <c r="D26" s="111"/>
      <c r="E26" s="106">
        <v>1800</v>
      </c>
      <c r="F26" s="106">
        <v>0</v>
      </c>
      <c r="G26" s="106">
        <v>0</v>
      </c>
      <c r="H26" s="52">
        <f t="shared" si="4"/>
        <v>1800</v>
      </c>
      <c r="I26" s="52">
        <f t="shared" si="5"/>
        <v>1800</v>
      </c>
      <c r="J26" s="52">
        <f t="shared" si="6"/>
        <v>1800</v>
      </c>
      <c r="K26" s="106">
        <v>1800</v>
      </c>
      <c r="L26" s="106">
        <v>0</v>
      </c>
      <c r="M26" s="106">
        <v>0</v>
      </c>
      <c r="N26" s="105">
        <v>0</v>
      </c>
      <c r="O26" s="106">
        <v>0</v>
      </c>
      <c r="P26" s="51">
        <v>0</v>
      </c>
      <c r="Q26" s="111"/>
      <c r="R26" s="51">
        <v>0</v>
      </c>
      <c r="S26" s="51">
        <v>0</v>
      </c>
      <c r="T26" s="52">
        <f t="shared" si="7"/>
        <v>0</v>
      </c>
      <c r="U26" s="54">
        <f t="shared" si="1"/>
        <v>1</v>
      </c>
      <c r="V26" s="84">
        <f t="shared" si="8"/>
        <v>1800</v>
      </c>
      <c r="W26" s="86">
        <f t="shared" si="9"/>
        <v>1800</v>
      </c>
      <c r="X26" s="86">
        <f t="shared" si="10"/>
        <v>0</v>
      </c>
    </row>
    <row r="27" spans="1:24" s="60" customFormat="1" ht="28.5" customHeight="1">
      <c r="A27" s="55">
        <v>3</v>
      </c>
      <c r="B27" s="56" t="s">
        <v>62</v>
      </c>
      <c r="C27" s="57">
        <f t="shared" si="2"/>
        <v>20185332</v>
      </c>
      <c r="D27" s="58">
        <f>SUM(D28:D31)</f>
        <v>19840307</v>
      </c>
      <c r="E27" s="58">
        <f aca="true" t="shared" si="14" ref="E27:O27">SUM(E28:E31)</f>
        <v>345025</v>
      </c>
      <c r="F27" s="58">
        <f t="shared" si="14"/>
        <v>62950</v>
      </c>
      <c r="G27" s="58">
        <f t="shared" si="14"/>
        <v>0</v>
      </c>
      <c r="H27" s="58">
        <f t="shared" si="14"/>
        <v>20122382</v>
      </c>
      <c r="I27" s="58">
        <f t="shared" si="14"/>
        <v>9308745</v>
      </c>
      <c r="J27" s="58">
        <f t="shared" si="14"/>
        <v>71467</v>
      </c>
      <c r="K27" s="58">
        <f t="shared" si="14"/>
        <v>71467</v>
      </c>
      <c r="L27" s="58">
        <f t="shared" si="14"/>
        <v>0</v>
      </c>
      <c r="M27" s="58">
        <f t="shared" si="14"/>
        <v>0</v>
      </c>
      <c r="N27" s="58">
        <f t="shared" si="14"/>
        <v>9237278</v>
      </c>
      <c r="O27" s="58">
        <f t="shared" si="14"/>
        <v>0</v>
      </c>
      <c r="P27" s="101">
        <f>SUM(P28:P31)</f>
        <v>0</v>
      </c>
      <c r="Q27" s="58">
        <f>SUM(Q28:Q31)</f>
        <v>10710414</v>
      </c>
      <c r="R27" s="58">
        <f>SUM(R28:R31)</f>
        <v>0</v>
      </c>
      <c r="S27" s="101">
        <f>SUM(S28:S31)</f>
        <v>103223</v>
      </c>
      <c r="T27" s="58">
        <f>SUM(T28:T31)</f>
        <v>20050915</v>
      </c>
      <c r="U27" s="59">
        <f t="shared" si="1"/>
        <v>0.00767740441917788</v>
      </c>
      <c r="V27" s="84">
        <f t="shared" si="8"/>
        <v>20122382</v>
      </c>
      <c r="W27" s="86">
        <f t="shared" si="9"/>
        <v>20122382</v>
      </c>
      <c r="X27" s="86">
        <f t="shared" si="10"/>
        <v>0</v>
      </c>
    </row>
    <row r="28" spans="1:24" s="14" customFormat="1" ht="27" customHeight="1">
      <c r="A28" s="37">
        <v>3.1</v>
      </c>
      <c r="B28" s="38" t="s">
        <v>63</v>
      </c>
      <c r="C28" s="52">
        <f t="shared" si="2"/>
        <v>911397</v>
      </c>
      <c r="D28" s="113">
        <v>906297</v>
      </c>
      <c r="E28" s="106">
        <v>5100</v>
      </c>
      <c r="F28" s="106">
        <v>0</v>
      </c>
      <c r="G28" s="106">
        <v>0</v>
      </c>
      <c r="H28" s="52">
        <f t="shared" si="4"/>
        <v>911397</v>
      </c>
      <c r="I28" s="52">
        <f t="shared" si="5"/>
        <v>443970</v>
      </c>
      <c r="J28" s="52">
        <f t="shared" si="6"/>
        <v>4150</v>
      </c>
      <c r="K28" s="106">
        <f>3700+450</f>
        <v>4150</v>
      </c>
      <c r="L28" s="106">
        <v>0</v>
      </c>
      <c r="M28" s="106">
        <v>0</v>
      </c>
      <c r="N28" s="105">
        <v>439820</v>
      </c>
      <c r="O28" s="106">
        <v>0</v>
      </c>
      <c r="P28" s="51">
        <v>0</v>
      </c>
      <c r="Q28" s="113">
        <v>467427</v>
      </c>
      <c r="R28" s="51">
        <v>0</v>
      </c>
      <c r="S28" s="51">
        <v>0</v>
      </c>
      <c r="T28" s="52">
        <f t="shared" si="7"/>
        <v>907247</v>
      </c>
      <c r="U28" s="54">
        <f t="shared" si="1"/>
        <v>0.00934747843322747</v>
      </c>
      <c r="V28" s="84">
        <f t="shared" si="8"/>
        <v>911397</v>
      </c>
      <c r="W28" s="86">
        <f t="shared" si="9"/>
        <v>911397</v>
      </c>
      <c r="X28" s="86">
        <f t="shared" si="10"/>
        <v>0</v>
      </c>
    </row>
    <row r="29" spans="1:24" s="14" customFormat="1" ht="13.5" customHeight="1">
      <c r="A29" s="37">
        <v>3.2</v>
      </c>
      <c r="B29" s="38" t="s">
        <v>64</v>
      </c>
      <c r="C29" s="52">
        <f t="shared" si="2"/>
        <v>9595486</v>
      </c>
      <c r="D29" s="113">
        <v>9438752</v>
      </c>
      <c r="E29" s="106">
        <v>156734</v>
      </c>
      <c r="F29" s="106">
        <v>3600</v>
      </c>
      <c r="G29" s="106">
        <v>0</v>
      </c>
      <c r="H29" s="52">
        <f t="shared" si="4"/>
        <v>9591886</v>
      </c>
      <c r="I29" s="52">
        <f t="shared" si="5"/>
        <v>1553862</v>
      </c>
      <c r="J29" s="52">
        <f t="shared" si="6"/>
        <v>37245</v>
      </c>
      <c r="K29" s="106">
        <v>37245</v>
      </c>
      <c r="L29" s="106">
        <v>0</v>
      </c>
      <c r="M29" s="106">
        <v>0</v>
      </c>
      <c r="N29" s="105">
        <v>1516617</v>
      </c>
      <c r="O29" s="106">
        <v>0</v>
      </c>
      <c r="P29" s="51">
        <v>0</v>
      </c>
      <c r="Q29" s="113">
        <v>7934801</v>
      </c>
      <c r="R29" s="51">
        <v>0</v>
      </c>
      <c r="S29" s="51">
        <v>103223</v>
      </c>
      <c r="T29" s="52">
        <f t="shared" si="7"/>
        <v>9554641</v>
      </c>
      <c r="U29" s="54">
        <f t="shared" si="1"/>
        <v>0.023969310015947362</v>
      </c>
      <c r="V29" s="84">
        <f t="shared" si="8"/>
        <v>9591886</v>
      </c>
      <c r="W29" s="86">
        <f t="shared" si="9"/>
        <v>9591886</v>
      </c>
      <c r="X29" s="86">
        <f t="shared" si="10"/>
        <v>0</v>
      </c>
    </row>
    <row r="30" spans="1:24" s="14" customFormat="1" ht="13.5" customHeight="1">
      <c r="A30" s="37">
        <v>3.3</v>
      </c>
      <c r="B30" s="38" t="s">
        <v>65</v>
      </c>
      <c r="C30" s="52">
        <f t="shared" si="2"/>
        <v>9620986</v>
      </c>
      <c r="D30" s="113">
        <v>9463770</v>
      </c>
      <c r="E30" s="106">
        <v>157216</v>
      </c>
      <c r="F30" s="106">
        <v>59350</v>
      </c>
      <c r="G30" s="106">
        <v>0</v>
      </c>
      <c r="H30" s="52">
        <f t="shared" si="4"/>
        <v>9561636</v>
      </c>
      <c r="I30" s="52">
        <f t="shared" si="5"/>
        <v>7265599</v>
      </c>
      <c r="J30" s="52">
        <f t="shared" si="6"/>
        <v>27472</v>
      </c>
      <c r="K30" s="106">
        <v>27472</v>
      </c>
      <c r="L30" s="106">
        <v>0</v>
      </c>
      <c r="M30" s="106">
        <v>0</v>
      </c>
      <c r="N30" s="105">
        <f>7220530+17597</f>
        <v>7238127</v>
      </c>
      <c r="O30" s="106">
        <v>0</v>
      </c>
      <c r="P30" s="51">
        <v>0</v>
      </c>
      <c r="Q30" s="113">
        <v>2296037</v>
      </c>
      <c r="R30" s="51">
        <v>0</v>
      </c>
      <c r="S30" s="51">
        <v>0</v>
      </c>
      <c r="T30" s="52">
        <f t="shared" si="7"/>
        <v>9534164</v>
      </c>
      <c r="U30" s="54">
        <f t="shared" si="1"/>
        <v>0.0037811060037857857</v>
      </c>
      <c r="V30" s="84">
        <f t="shared" si="8"/>
        <v>9561636</v>
      </c>
      <c r="W30" s="86">
        <f t="shared" si="9"/>
        <v>9561636</v>
      </c>
      <c r="X30" s="86">
        <f t="shared" si="10"/>
        <v>0</v>
      </c>
    </row>
    <row r="31" spans="1:24" s="14" customFormat="1" ht="13.5" customHeight="1">
      <c r="A31" s="37">
        <v>3.4</v>
      </c>
      <c r="B31" s="38" t="s">
        <v>66</v>
      </c>
      <c r="C31" s="52">
        <f t="shared" si="2"/>
        <v>57463</v>
      </c>
      <c r="D31" s="113">
        <v>31488</v>
      </c>
      <c r="E31" s="106">
        <v>25975</v>
      </c>
      <c r="F31" s="106">
        <v>0</v>
      </c>
      <c r="G31" s="106">
        <v>0</v>
      </c>
      <c r="H31" s="52">
        <f t="shared" si="4"/>
        <v>57463</v>
      </c>
      <c r="I31" s="52">
        <f t="shared" si="5"/>
        <v>45314</v>
      </c>
      <c r="J31" s="52">
        <f t="shared" si="6"/>
        <v>2600</v>
      </c>
      <c r="K31" s="106">
        <v>2600</v>
      </c>
      <c r="L31" s="106">
        <v>0</v>
      </c>
      <c r="M31" s="106">
        <v>0</v>
      </c>
      <c r="N31" s="105">
        <f>42514+200</f>
        <v>42714</v>
      </c>
      <c r="O31" s="106">
        <v>0</v>
      </c>
      <c r="P31" s="51">
        <v>0</v>
      </c>
      <c r="Q31" s="113">
        <v>12149</v>
      </c>
      <c r="R31" s="51">
        <v>0</v>
      </c>
      <c r="S31" s="51">
        <v>0</v>
      </c>
      <c r="T31" s="52">
        <f t="shared" si="7"/>
        <v>54863</v>
      </c>
      <c r="U31" s="54">
        <f t="shared" si="1"/>
        <v>0.057377410954671845</v>
      </c>
      <c r="V31" s="84">
        <f t="shared" si="8"/>
        <v>57463</v>
      </c>
      <c r="W31" s="86">
        <f t="shared" si="9"/>
        <v>57463</v>
      </c>
      <c r="X31" s="86">
        <f t="shared" si="10"/>
        <v>0</v>
      </c>
    </row>
    <row r="32" spans="1:24" s="60" customFormat="1" ht="25.5" customHeight="1">
      <c r="A32" s="55">
        <v>4</v>
      </c>
      <c r="B32" s="56" t="s">
        <v>67</v>
      </c>
      <c r="C32" s="57">
        <f t="shared" si="2"/>
        <v>12045726</v>
      </c>
      <c r="D32" s="58">
        <f aca="true" t="shared" si="15" ref="D32:O32">SUM(D33:D37)</f>
        <v>8256681</v>
      </c>
      <c r="E32" s="58">
        <f t="shared" si="15"/>
        <v>3789045</v>
      </c>
      <c r="F32" s="58">
        <f t="shared" si="15"/>
        <v>700</v>
      </c>
      <c r="G32" s="58">
        <f t="shared" si="15"/>
        <v>0</v>
      </c>
      <c r="H32" s="58">
        <f t="shared" si="15"/>
        <v>12045026</v>
      </c>
      <c r="I32" s="58">
        <f t="shared" si="15"/>
        <v>4704990</v>
      </c>
      <c r="J32" s="58">
        <f t="shared" si="15"/>
        <v>1918259</v>
      </c>
      <c r="K32" s="58">
        <f t="shared" si="15"/>
        <v>1918259</v>
      </c>
      <c r="L32" s="58">
        <f t="shared" si="15"/>
        <v>0</v>
      </c>
      <c r="M32" s="58">
        <f t="shared" si="15"/>
        <v>0</v>
      </c>
      <c r="N32" s="58">
        <f t="shared" si="15"/>
        <v>2784245</v>
      </c>
      <c r="O32" s="58">
        <f t="shared" si="15"/>
        <v>0</v>
      </c>
      <c r="P32" s="101">
        <f>SUM(P33:P37)</f>
        <v>2486</v>
      </c>
      <c r="Q32" s="58">
        <f>SUM(Q33:Q37)</f>
        <v>6574380</v>
      </c>
      <c r="R32" s="58">
        <f>SUM(R33:R37)</f>
        <v>0</v>
      </c>
      <c r="S32" s="101">
        <f>SUM(S33:S37)</f>
        <v>765656</v>
      </c>
      <c r="T32" s="58">
        <f>SUM(T33:T37)</f>
        <v>10126767</v>
      </c>
      <c r="U32" s="59">
        <f t="shared" si="1"/>
        <v>0.40770734900605526</v>
      </c>
      <c r="V32" s="84">
        <f t="shared" si="8"/>
        <v>12045026</v>
      </c>
      <c r="W32" s="86">
        <f t="shared" si="9"/>
        <v>12045026</v>
      </c>
      <c r="X32" s="86">
        <f t="shared" si="10"/>
        <v>0</v>
      </c>
    </row>
    <row r="33" spans="1:24" s="14" customFormat="1" ht="13.5" customHeight="1">
      <c r="A33" s="37">
        <v>4.1</v>
      </c>
      <c r="B33" s="38" t="s">
        <v>69</v>
      </c>
      <c r="C33" s="52">
        <f t="shared" si="2"/>
        <v>4614566</v>
      </c>
      <c r="D33" s="110">
        <v>1076354</v>
      </c>
      <c r="E33" s="106">
        <v>3538212</v>
      </c>
      <c r="F33" s="106">
        <v>0</v>
      </c>
      <c r="G33" s="106">
        <v>0</v>
      </c>
      <c r="H33" s="52">
        <f t="shared" si="4"/>
        <v>4614566</v>
      </c>
      <c r="I33" s="52">
        <f t="shared" si="5"/>
        <v>3667001</v>
      </c>
      <c r="J33" s="52">
        <f t="shared" si="6"/>
        <v>1690376</v>
      </c>
      <c r="K33" s="106">
        <v>1690376</v>
      </c>
      <c r="L33" s="106">
        <v>0</v>
      </c>
      <c r="M33" s="106">
        <v>0</v>
      </c>
      <c r="N33" s="105">
        <v>1974139</v>
      </c>
      <c r="O33" s="106">
        <v>0</v>
      </c>
      <c r="P33" s="51">
        <v>2486</v>
      </c>
      <c r="Q33" s="110">
        <v>182659</v>
      </c>
      <c r="R33" s="51">
        <v>0</v>
      </c>
      <c r="S33" s="51">
        <v>764906</v>
      </c>
      <c r="T33" s="52">
        <f t="shared" si="7"/>
        <v>2924190</v>
      </c>
      <c r="U33" s="54">
        <f t="shared" si="1"/>
        <v>0.4609696043169882</v>
      </c>
      <c r="V33" s="84">
        <f t="shared" si="8"/>
        <v>4614566</v>
      </c>
      <c r="W33" s="86">
        <f t="shared" si="9"/>
        <v>4614566</v>
      </c>
      <c r="X33" s="86">
        <f t="shared" si="10"/>
        <v>0</v>
      </c>
    </row>
    <row r="34" spans="1:24" s="14" customFormat="1" ht="13.5" customHeight="1">
      <c r="A34" s="37">
        <v>4.3</v>
      </c>
      <c r="B34" s="38" t="s">
        <v>71</v>
      </c>
      <c r="C34" s="52">
        <f t="shared" si="2"/>
        <v>6319991</v>
      </c>
      <c r="D34" s="110">
        <v>6301441</v>
      </c>
      <c r="E34" s="106">
        <v>18550</v>
      </c>
      <c r="F34" s="106">
        <v>0</v>
      </c>
      <c r="G34" s="106">
        <v>0</v>
      </c>
      <c r="H34" s="52">
        <f t="shared" si="4"/>
        <v>6319991</v>
      </c>
      <c r="I34" s="52">
        <f t="shared" si="5"/>
        <v>28270</v>
      </c>
      <c r="J34" s="52">
        <f t="shared" si="6"/>
        <v>12850</v>
      </c>
      <c r="K34" s="106">
        <v>12850</v>
      </c>
      <c r="L34" s="106">
        <v>0</v>
      </c>
      <c r="M34" s="106">
        <v>0</v>
      </c>
      <c r="N34" s="105">
        <v>15420</v>
      </c>
      <c r="O34" s="106">
        <v>0</v>
      </c>
      <c r="P34" s="51">
        <v>0</v>
      </c>
      <c r="Q34" s="110">
        <v>6291721</v>
      </c>
      <c r="R34" s="51">
        <v>0</v>
      </c>
      <c r="S34" s="51">
        <v>0</v>
      </c>
      <c r="T34" s="52">
        <f t="shared" si="7"/>
        <v>6307141</v>
      </c>
      <c r="U34" s="54">
        <f t="shared" si="1"/>
        <v>0.45454545454545453</v>
      </c>
      <c r="V34" s="84">
        <f t="shared" si="8"/>
        <v>6319991</v>
      </c>
      <c r="W34" s="86">
        <f t="shared" si="9"/>
        <v>6319991</v>
      </c>
      <c r="X34" s="86">
        <f t="shared" si="10"/>
        <v>0</v>
      </c>
    </row>
    <row r="35" spans="1:24" s="14" customFormat="1" ht="13.5" customHeight="1">
      <c r="A35" s="37">
        <v>4.4</v>
      </c>
      <c r="B35" s="38" t="s">
        <v>72</v>
      </c>
      <c r="C35" s="52">
        <f t="shared" si="2"/>
        <v>447150</v>
      </c>
      <c r="D35" s="110">
        <v>411625</v>
      </c>
      <c r="E35" s="106">
        <v>35525</v>
      </c>
      <c r="F35" s="106">
        <v>500</v>
      </c>
      <c r="G35" s="106">
        <v>0</v>
      </c>
      <c r="H35" s="52">
        <f t="shared" si="4"/>
        <v>446650</v>
      </c>
      <c r="I35" s="52">
        <f t="shared" si="5"/>
        <v>446650</v>
      </c>
      <c r="J35" s="52">
        <f t="shared" si="6"/>
        <v>20180</v>
      </c>
      <c r="K35" s="106">
        <v>20180</v>
      </c>
      <c r="L35" s="106">
        <v>0</v>
      </c>
      <c r="M35" s="106">
        <v>0</v>
      </c>
      <c r="N35" s="105">
        <v>426470</v>
      </c>
      <c r="O35" s="106">
        <v>0</v>
      </c>
      <c r="P35" s="51">
        <v>0</v>
      </c>
      <c r="Q35" s="110">
        <v>0</v>
      </c>
      <c r="R35" s="51">
        <v>0</v>
      </c>
      <c r="S35" s="51">
        <v>0</v>
      </c>
      <c r="T35" s="52">
        <f t="shared" si="7"/>
        <v>426470</v>
      </c>
      <c r="U35" s="54">
        <f t="shared" si="1"/>
        <v>0.045180790327997315</v>
      </c>
      <c r="V35" s="84">
        <f t="shared" si="8"/>
        <v>446650</v>
      </c>
      <c r="W35" s="86">
        <f t="shared" si="9"/>
        <v>446650</v>
      </c>
      <c r="X35" s="86">
        <f t="shared" si="10"/>
        <v>0</v>
      </c>
    </row>
    <row r="36" spans="1:24" s="14" customFormat="1" ht="13.5" customHeight="1">
      <c r="A36" s="37">
        <v>4.5</v>
      </c>
      <c r="B36" s="38" t="s">
        <v>91</v>
      </c>
      <c r="C36" s="52">
        <f t="shared" si="2"/>
        <v>637759</v>
      </c>
      <c r="D36" s="110">
        <v>467261</v>
      </c>
      <c r="E36" s="106">
        <v>170498</v>
      </c>
      <c r="F36" s="106">
        <v>200</v>
      </c>
      <c r="G36" s="106">
        <v>0</v>
      </c>
      <c r="H36" s="52">
        <f t="shared" si="4"/>
        <v>637559</v>
      </c>
      <c r="I36" s="52">
        <f t="shared" si="5"/>
        <v>536809</v>
      </c>
      <c r="J36" s="52">
        <f t="shared" si="6"/>
        <v>170298</v>
      </c>
      <c r="K36" s="106">
        <v>170298</v>
      </c>
      <c r="L36" s="106">
        <v>0</v>
      </c>
      <c r="M36" s="106">
        <v>0</v>
      </c>
      <c r="N36" s="105">
        <f>366511</f>
        <v>366511</v>
      </c>
      <c r="O36" s="106">
        <v>0</v>
      </c>
      <c r="P36" s="51">
        <v>0</v>
      </c>
      <c r="Q36" s="110">
        <v>100000</v>
      </c>
      <c r="R36" s="51">
        <v>0</v>
      </c>
      <c r="S36" s="51">
        <v>750</v>
      </c>
      <c r="T36" s="52">
        <f t="shared" si="7"/>
        <v>467261</v>
      </c>
      <c r="U36" s="54">
        <f t="shared" si="1"/>
        <v>0.31724132792110415</v>
      </c>
      <c r="V36" s="84">
        <f t="shared" si="8"/>
        <v>637559</v>
      </c>
      <c r="W36" s="86">
        <f t="shared" si="9"/>
        <v>637559</v>
      </c>
      <c r="X36" s="86">
        <f t="shared" si="10"/>
        <v>0</v>
      </c>
    </row>
    <row r="37" spans="1:24" s="14" customFormat="1" ht="13.5" customHeight="1">
      <c r="A37" s="37">
        <v>4.6</v>
      </c>
      <c r="B37" s="38" t="s">
        <v>68</v>
      </c>
      <c r="C37" s="52">
        <f t="shared" si="2"/>
        <v>26260</v>
      </c>
      <c r="D37" s="110">
        <v>0</v>
      </c>
      <c r="E37" s="106">
        <v>26260</v>
      </c>
      <c r="F37" s="106">
        <v>0</v>
      </c>
      <c r="G37" s="106">
        <v>0</v>
      </c>
      <c r="H37" s="52">
        <f t="shared" si="4"/>
        <v>26260</v>
      </c>
      <c r="I37" s="52">
        <f t="shared" si="5"/>
        <v>26260</v>
      </c>
      <c r="J37" s="52">
        <f t="shared" si="6"/>
        <v>24555</v>
      </c>
      <c r="K37" s="106">
        <v>24555</v>
      </c>
      <c r="L37" s="106">
        <v>0</v>
      </c>
      <c r="M37" s="106">
        <v>0</v>
      </c>
      <c r="N37" s="105">
        <v>1705</v>
      </c>
      <c r="O37" s="106">
        <v>0</v>
      </c>
      <c r="P37" s="51">
        <v>0</v>
      </c>
      <c r="Q37" s="110">
        <v>0</v>
      </c>
      <c r="R37" s="51">
        <v>0</v>
      </c>
      <c r="S37" s="51">
        <v>0</v>
      </c>
      <c r="T37" s="52">
        <f t="shared" si="7"/>
        <v>1705</v>
      </c>
      <c r="U37" s="54">
        <f t="shared" si="1"/>
        <v>0.935072353389185</v>
      </c>
      <c r="V37" s="84">
        <f t="shared" si="8"/>
        <v>26260</v>
      </c>
      <c r="W37" s="86">
        <f t="shared" si="9"/>
        <v>26260</v>
      </c>
      <c r="X37" s="86">
        <f t="shared" si="10"/>
        <v>0</v>
      </c>
    </row>
    <row r="38" spans="1:24" s="60" customFormat="1" ht="26.25" customHeight="1">
      <c r="A38" s="55">
        <v>5</v>
      </c>
      <c r="B38" s="56" t="s">
        <v>73</v>
      </c>
      <c r="C38" s="57">
        <f t="shared" si="2"/>
        <v>58614207</v>
      </c>
      <c r="D38" s="58">
        <f>SUM(D39:D42)</f>
        <v>15438536</v>
      </c>
      <c r="E38" s="58">
        <f aca="true" t="shared" si="16" ref="E38:O38">SUM(E39:E42)</f>
        <v>43175671</v>
      </c>
      <c r="F38" s="58">
        <f t="shared" si="16"/>
        <v>749</v>
      </c>
      <c r="G38" s="58">
        <f t="shared" si="16"/>
        <v>0</v>
      </c>
      <c r="H38" s="58">
        <f t="shared" si="16"/>
        <v>58613458</v>
      </c>
      <c r="I38" s="58">
        <f t="shared" si="16"/>
        <v>48673476</v>
      </c>
      <c r="J38" s="58">
        <f t="shared" si="16"/>
        <v>1170631</v>
      </c>
      <c r="K38" s="58">
        <f t="shared" si="16"/>
        <v>1146089</v>
      </c>
      <c r="L38" s="58">
        <f t="shared" si="16"/>
        <v>24542</v>
      </c>
      <c r="M38" s="58">
        <f t="shared" si="16"/>
        <v>0</v>
      </c>
      <c r="N38" s="58">
        <f t="shared" si="16"/>
        <v>47502845</v>
      </c>
      <c r="O38" s="58">
        <f t="shared" si="16"/>
        <v>0</v>
      </c>
      <c r="P38" s="101">
        <f>SUM(P39:P42)</f>
        <v>0</v>
      </c>
      <c r="Q38" s="58">
        <f>SUM(Q39:Q42)+500</f>
        <v>9939982</v>
      </c>
      <c r="R38" s="58">
        <f>SUM(R39:R42)</f>
        <v>0</v>
      </c>
      <c r="S38" s="101"/>
      <c r="T38" s="58">
        <f>SUM(T39:T42)</f>
        <v>57442327</v>
      </c>
      <c r="U38" s="59">
        <f t="shared" si="1"/>
        <v>0.024050696523091962</v>
      </c>
      <c r="V38" s="84">
        <f t="shared" si="8"/>
        <v>58613458</v>
      </c>
      <c r="W38" s="86">
        <f t="shared" si="9"/>
        <v>58613458</v>
      </c>
      <c r="X38" s="86">
        <f t="shared" si="10"/>
        <v>0</v>
      </c>
    </row>
    <row r="39" spans="1:24" s="14" customFormat="1" ht="15" customHeight="1">
      <c r="A39" s="37">
        <v>5.1</v>
      </c>
      <c r="B39" s="38" t="s">
        <v>74</v>
      </c>
      <c r="C39" s="52">
        <f>D39+E39</f>
        <v>1407658</v>
      </c>
      <c r="D39" s="212">
        <f>1237202</f>
        <v>1237202</v>
      </c>
      <c r="E39" s="106">
        <v>170456</v>
      </c>
      <c r="F39" s="106">
        <v>749</v>
      </c>
      <c r="G39" s="106">
        <v>0</v>
      </c>
      <c r="H39" s="52">
        <f>C39-G39-F39</f>
        <v>1406909</v>
      </c>
      <c r="I39" s="52">
        <f t="shared" si="5"/>
        <v>556531</v>
      </c>
      <c r="J39" s="52">
        <f t="shared" si="6"/>
        <v>251785</v>
      </c>
      <c r="K39" s="106">
        <v>234513</v>
      </c>
      <c r="L39" s="106">
        <v>17272</v>
      </c>
      <c r="M39" s="106">
        <v>0</v>
      </c>
      <c r="N39" s="105">
        <v>304746</v>
      </c>
      <c r="O39" s="106">
        <v>0</v>
      </c>
      <c r="P39" s="51">
        <v>0</v>
      </c>
      <c r="Q39" s="213">
        <f>850378</f>
        <v>850378</v>
      </c>
      <c r="R39" s="51">
        <v>0</v>
      </c>
      <c r="S39" s="51">
        <v>0</v>
      </c>
      <c r="T39" s="52">
        <f t="shared" si="7"/>
        <v>1155124</v>
      </c>
      <c r="U39" s="54">
        <f t="shared" si="1"/>
        <v>0.45241864334601306</v>
      </c>
      <c r="V39" s="84">
        <f>IF(H39=C39-F39-G39,H39,"KT lai")</f>
        <v>1406909</v>
      </c>
      <c r="W39" s="86">
        <f t="shared" si="9"/>
        <v>1406909</v>
      </c>
      <c r="X39" s="86">
        <f t="shared" si="10"/>
        <v>0</v>
      </c>
    </row>
    <row r="40" spans="1:24" s="14" customFormat="1" ht="18" customHeight="1">
      <c r="A40" s="37">
        <v>5.2</v>
      </c>
      <c r="B40" s="38" t="s">
        <v>75</v>
      </c>
      <c r="C40" s="52">
        <f>D40+E40</f>
        <v>37712</v>
      </c>
      <c r="D40" s="212">
        <v>11412</v>
      </c>
      <c r="E40" s="106">
        <v>26300</v>
      </c>
      <c r="F40" s="106">
        <v>0</v>
      </c>
      <c r="G40" s="106">
        <v>0</v>
      </c>
      <c r="H40" s="52">
        <f>C40-G40-F40</f>
        <v>37712</v>
      </c>
      <c r="I40" s="52">
        <f>K40+L40+M40+N40+O40+P40</f>
        <v>37712</v>
      </c>
      <c r="J40" s="52">
        <f>K40+L40+M40</f>
        <v>16130</v>
      </c>
      <c r="K40" s="106">
        <v>16130</v>
      </c>
      <c r="L40" s="106">
        <v>0</v>
      </c>
      <c r="M40" s="106">
        <v>0</v>
      </c>
      <c r="N40" s="105">
        <v>21582</v>
      </c>
      <c r="O40" s="106">
        <v>0</v>
      </c>
      <c r="P40" s="51">
        <v>0</v>
      </c>
      <c r="Q40" s="213"/>
      <c r="R40" s="51">
        <v>0</v>
      </c>
      <c r="S40" s="51">
        <v>0</v>
      </c>
      <c r="T40" s="52">
        <f>SUM(N40:S40)</f>
        <v>21582</v>
      </c>
      <c r="U40" s="54">
        <f>IF(I40&lt;&gt;0,J40/I40,"")</f>
        <v>0.42771531607976243</v>
      </c>
      <c r="V40" s="84">
        <f>IF(H40=C40-F40-G40,H40,"KT lai")</f>
        <v>37712</v>
      </c>
      <c r="W40" s="86">
        <f>I40+Q40+R40+S40</f>
        <v>37712</v>
      </c>
      <c r="X40" s="86">
        <f>V40-W40</f>
        <v>0</v>
      </c>
    </row>
    <row r="41" spans="1:24" s="14" customFormat="1" ht="15" customHeight="1">
      <c r="A41" s="37">
        <v>5.3</v>
      </c>
      <c r="B41" s="38" t="s">
        <v>92</v>
      </c>
      <c r="C41" s="52">
        <f>D41+E41</f>
        <v>3631445</v>
      </c>
      <c r="D41" s="212">
        <v>494727</v>
      </c>
      <c r="E41" s="106">
        <v>3136718</v>
      </c>
      <c r="F41" s="106">
        <v>0</v>
      </c>
      <c r="G41" s="106">
        <v>0</v>
      </c>
      <c r="H41" s="52">
        <f>C41-G41-F41</f>
        <v>3631445</v>
      </c>
      <c r="I41" s="52">
        <f>K41+L41+M41+N41+O41+P41</f>
        <v>3422789</v>
      </c>
      <c r="J41" s="52">
        <f>K41+L41+M41</f>
        <v>96130</v>
      </c>
      <c r="K41" s="106">
        <v>89060</v>
      </c>
      <c r="L41" s="106">
        <v>7070</v>
      </c>
      <c r="M41" s="106">
        <v>0</v>
      </c>
      <c r="N41" s="105">
        <v>3326659</v>
      </c>
      <c r="O41" s="106">
        <v>0</v>
      </c>
      <c r="P41" s="51">
        <v>0</v>
      </c>
      <c r="Q41" s="213">
        <v>208156</v>
      </c>
      <c r="R41" s="51"/>
      <c r="S41" s="51">
        <v>0</v>
      </c>
      <c r="T41" s="52">
        <f>SUM(N41:S41)</f>
        <v>3534815</v>
      </c>
      <c r="U41" s="54">
        <f>IF(I41&lt;&gt;0,J41/I41,"")</f>
        <v>0.028085283667792553</v>
      </c>
      <c r="V41" s="84"/>
      <c r="W41" s="86"/>
      <c r="X41" s="86"/>
    </row>
    <row r="42" spans="1:24" s="14" customFormat="1" ht="18" customHeight="1">
      <c r="A42" s="37">
        <v>5.4</v>
      </c>
      <c r="B42" s="38" t="s">
        <v>79</v>
      </c>
      <c r="C42" s="52">
        <f>D42+E42</f>
        <v>53537392</v>
      </c>
      <c r="D42" s="213">
        <v>13695195</v>
      </c>
      <c r="E42" s="106">
        <v>39842197</v>
      </c>
      <c r="F42" s="106">
        <v>0</v>
      </c>
      <c r="G42" s="106">
        <v>0</v>
      </c>
      <c r="H42" s="52">
        <f>C42-G42-F42</f>
        <v>53537392</v>
      </c>
      <c r="I42" s="52">
        <f>K42+L42+M42+N42+O42+P42</f>
        <v>44656444</v>
      </c>
      <c r="J42" s="52">
        <f>K42+L42+M42</f>
        <v>806586</v>
      </c>
      <c r="K42" s="106">
        <v>806386</v>
      </c>
      <c r="L42" s="106">
        <v>200</v>
      </c>
      <c r="M42" s="106">
        <v>0</v>
      </c>
      <c r="N42" s="105">
        <v>43849858</v>
      </c>
      <c r="O42" s="106">
        <v>0</v>
      </c>
      <c r="P42" s="51">
        <v>0</v>
      </c>
      <c r="Q42" s="213">
        <v>8880948</v>
      </c>
      <c r="R42" s="51">
        <v>0</v>
      </c>
      <c r="S42" s="51">
        <v>0</v>
      </c>
      <c r="T42" s="52">
        <f t="shared" si="7"/>
        <v>52730806</v>
      </c>
      <c r="U42" s="54">
        <f t="shared" si="1"/>
        <v>0.018062029300855213</v>
      </c>
      <c r="V42" s="84">
        <f>IF(H42=C42-F42-G42,H42,"KT lai")</f>
        <v>53537392</v>
      </c>
      <c r="W42" s="86">
        <f t="shared" si="9"/>
        <v>53537392</v>
      </c>
      <c r="X42" s="86">
        <f t="shared" si="10"/>
        <v>0</v>
      </c>
    </row>
    <row r="43" spans="1:24" s="60" customFormat="1" ht="27" customHeight="1">
      <c r="A43" s="55">
        <v>6</v>
      </c>
      <c r="B43" s="56" t="s">
        <v>76</v>
      </c>
      <c r="C43" s="57">
        <f t="shared" si="2"/>
        <v>80307253</v>
      </c>
      <c r="D43" s="58">
        <f aca="true" t="shared" si="17" ref="D43:O43">SUM(D44:D48)</f>
        <v>65982852</v>
      </c>
      <c r="E43" s="58">
        <f t="shared" si="17"/>
        <v>14324401</v>
      </c>
      <c r="F43" s="58">
        <f t="shared" si="17"/>
        <v>58800</v>
      </c>
      <c r="G43" s="58">
        <f t="shared" si="17"/>
        <v>0</v>
      </c>
      <c r="H43" s="58">
        <f t="shared" si="17"/>
        <v>80248453</v>
      </c>
      <c r="I43" s="58">
        <f t="shared" si="17"/>
        <v>39493231</v>
      </c>
      <c r="J43" s="58">
        <f t="shared" si="17"/>
        <v>13165411</v>
      </c>
      <c r="K43" s="58">
        <f t="shared" si="17"/>
        <v>5289778</v>
      </c>
      <c r="L43" s="58">
        <f t="shared" si="17"/>
        <v>7783719</v>
      </c>
      <c r="M43" s="58">
        <f t="shared" si="17"/>
        <v>91914</v>
      </c>
      <c r="N43" s="58">
        <f t="shared" si="17"/>
        <v>26327820</v>
      </c>
      <c r="O43" s="58">
        <f t="shared" si="17"/>
        <v>0</v>
      </c>
      <c r="P43" s="101">
        <f>SUM(P44:P48)</f>
        <v>0</v>
      </c>
      <c r="Q43" s="58">
        <f>SUM(Q44:Q48)</f>
        <v>40755222</v>
      </c>
      <c r="R43" s="58">
        <f>SUM(R44:R48)</f>
        <v>0</v>
      </c>
      <c r="S43" s="101">
        <f>SUM(S44:S48)</f>
        <v>0</v>
      </c>
      <c r="T43" s="58">
        <f>SUM(T44:T48)</f>
        <v>67083042</v>
      </c>
      <c r="U43" s="59">
        <f t="shared" si="1"/>
        <v>0.3333586710087103</v>
      </c>
      <c r="V43" s="84">
        <f t="shared" si="8"/>
        <v>80248453</v>
      </c>
      <c r="W43" s="86">
        <f t="shared" si="9"/>
        <v>80248453</v>
      </c>
      <c r="X43" s="86">
        <f t="shared" si="10"/>
        <v>0</v>
      </c>
    </row>
    <row r="44" spans="1:24" s="14" customFormat="1" ht="13.5" customHeight="1">
      <c r="A44" s="37">
        <v>6.1</v>
      </c>
      <c r="B44" s="38" t="s">
        <v>78</v>
      </c>
      <c r="C44" s="52">
        <f t="shared" si="2"/>
        <v>46532021</v>
      </c>
      <c r="D44" s="118">
        <v>44089640</v>
      </c>
      <c r="E44" s="106">
        <v>2442381</v>
      </c>
      <c r="F44" s="106">
        <v>0</v>
      </c>
      <c r="G44" s="106">
        <v>0</v>
      </c>
      <c r="H44" s="52">
        <f t="shared" si="4"/>
        <v>46532021</v>
      </c>
      <c r="I44" s="52">
        <f t="shared" si="5"/>
        <v>14701415</v>
      </c>
      <c r="J44" s="52">
        <f t="shared" si="6"/>
        <v>1377317</v>
      </c>
      <c r="K44" s="106">
        <v>1153321</v>
      </c>
      <c r="L44" s="106">
        <v>185330</v>
      </c>
      <c r="M44" s="106">
        <v>38666</v>
      </c>
      <c r="N44" s="105">
        <v>13324098</v>
      </c>
      <c r="O44" s="106">
        <v>0</v>
      </c>
      <c r="P44" s="51">
        <v>0</v>
      </c>
      <c r="Q44" s="120">
        <v>31830606</v>
      </c>
      <c r="R44" s="51">
        <v>0</v>
      </c>
      <c r="S44" s="51">
        <v>0</v>
      </c>
      <c r="T44" s="52">
        <f t="shared" si="7"/>
        <v>45154704</v>
      </c>
      <c r="U44" s="54">
        <f t="shared" si="1"/>
        <v>0.09368601593792163</v>
      </c>
      <c r="V44" s="84">
        <f t="shared" si="8"/>
        <v>46532021</v>
      </c>
      <c r="W44" s="86">
        <f t="shared" si="9"/>
        <v>46532021</v>
      </c>
      <c r="X44" s="86">
        <f t="shared" si="10"/>
        <v>0</v>
      </c>
    </row>
    <row r="45" spans="1:24" s="14" customFormat="1" ht="13.5" customHeight="1">
      <c r="A45" s="37">
        <v>6.2</v>
      </c>
      <c r="B45" s="38" t="s">
        <v>80</v>
      </c>
      <c r="C45" s="52">
        <f t="shared" si="2"/>
        <v>5911778</v>
      </c>
      <c r="D45" s="118">
        <v>5398545</v>
      </c>
      <c r="E45" s="106">
        <v>513233</v>
      </c>
      <c r="F45" s="106">
        <v>0</v>
      </c>
      <c r="G45" s="106">
        <v>0</v>
      </c>
      <c r="H45" s="52">
        <f t="shared" si="4"/>
        <v>5911778</v>
      </c>
      <c r="I45" s="52">
        <f t="shared" si="5"/>
        <v>1376447</v>
      </c>
      <c r="J45" s="52">
        <f t="shared" si="6"/>
        <v>472161</v>
      </c>
      <c r="K45" s="106">
        <v>453330</v>
      </c>
      <c r="L45" s="106">
        <v>18831</v>
      </c>
      <c r="M45" s="106">
        <v>0</v>
      </c>
      <c r="N45" s="105">
        <v>904286</v>
      </c>
      <c r="O45" s="106">
        <v>0</v>
      </c>
      <c r="P45" s="51">
        <v>0</v>
      </c>
      <c r="Q45" s="120">
        <v>4535331</v>
      </c>
      <c r="R45" s="51">
        <v>0</v>
      </c>
      <c r="S45" s="51">
        <v>0</v>
      </c>
      <c r="T45" s="52">
        <f t="shared" si="7"/>
        <v>5439617</v>
      </c>
      <c r="U45" s="54">
        <f t="shared" si="1"/>
        <v>0.3430288271179348</v>
      </c>
      <c r="V45" s="84">
        <f t="shared" si="8"/>
        <v>5911778</v>
      </c>
      <c r="W45" s="86">
        <f t="shared" si="9"/>
        <v>5911778</v>
      </c>
      <c r="X45" s="86">
        <f t="shared" si="10"/>
        <v>0</v>
      </c>
    </row>
    <row r="46" spans="1:24" s="14" customFormat="1" ht="13.5" customHeight="1">
      <c r="A46" s="37">
        <v>6.3</v>
      </c>
      <c r="B46" s="38" t="s">
        <v>82</v>
      </c>
      <c r="C46" s="52">
        <f t="shared" si="2"/>
        <v>21232290</v>
      </c>
      <c r="D46" s="118">
        <v>10009088</v>
      </c>
      <c r="E46" s="106">
        <v>11223202</v>
      </c>
      <c r="F46" s="106">
        <v>0</v>
      </c>
      <c r="G46" s="106">
        <v>0</v>
      </c>
      <c r="H46" s="52">
        <f t="shared" si="4"/>
        <v>21232290</v>
      </c>
      <c r="I46" s="52">
        <f t="shared" si="5"/>
        <v>19083756</v>
      </c>
      <c r="J46" s="52">
        <f t="shared" si="6"/>
        <v>11140041</v>
      </c>
      <c r="K46" s="106">
        <v>3554012</v>
      </c>
      <c r="L46" s="106">
        <v>7551100</v>
      </c>
      <c r="M46" s="106">
        <v>34929</v>
      </c>
      <c r="N46" s="105">
        <v>7943715</v>
      </c>
      <c r="O46" s="106">
        <v>0</v>
      </c>
      <c r="P46" s="51">
        <v>0</v>
      </c>
      <c r="Q46" s="120">
        <v>2148534</v>
      </c>
      <c r="R46" s="51">
        <v>0</v>
      </c>
      <c r="S46" s="51">
        <v>0</v>
      </c>
      <c r="T46" s="52">
        <f t="shared" si="7"/>
        <v>10092249</v>
      </c>
      <c r="U46" s="54">
        <f t="shared" si="1"/>
        <v>0.5837446779344695</v>
      </c>
      <c r="V46" s="84">
        <f t="shared" si="8"/>
        <v>21232290</v>
      </c>
      <c r="W46" s="86">
        <f t="shared" si="9"/>
        <v>21232290</v>
      </c>
      <c r="X46" s="86">
        <f t="shared" si="10"/>
        <v>0</v>
      </c>
    </row>
    <row r="47" spans="1:24" s="14" customFormat="1" ht="13.5" customHeight="1">
      <c r="A47" s="37">
        <v>6.4</v>
      </c>
      <c r="B47" s="38" t="s">
        <v>83</v>
      </c>
      <c r="C47" s="52">
        <f t="shared" si="2"/>
        <v>6628254</v>
      </c>
      <c r="D47" s="118">
        <v>6485579</v>
      </c>
      <c r="E47" s="106">
        <v>142675</v>
      </c>
      <c r="F47" s="106">
        <v>58200</v>
      </c>
      <c r="G47" s="106">
        <v>0</v>
      </c>
      <c r="H47" s="52">
        <f t="shared" si="4"/>
        <v>6570054</v>
      </c>
      <c r="I47" s="52">
        <f t="shared" si="5"/>
        <v>4329303</v>
      </c>
      <c r="J47" s="52">
        <f t="shared" si="6"/>
        <v>173582</v>
      </c>
      <c r="K47" s="106">
        <v>126805</v>
      </c>
      <c r="L47" s="106">
        <v>28458</v>
      </c>
      <c r="M47" s="106">
        <v>18319</v>
      </c>
      <c r="N47" s="105">
        <v>4155721</v>
      </c>
      <c r="O47" s="106">
        <v>0</v>
      </c>
      <c r="P47" s="51">
        <v>0</v>
      </c>
      <c r="Q47" s="120">
        <v>2240751</v>
      </c>
      <c r="R47" s="51">
        <v>0</v>
      </c>
      <c r="S47" s="51">
        <v>0</v>
      </c>
      <c r="T47" s="52">
        <f t="shared" si="7"/>
        <v>6396472</v>
      </c>
      <c r="U47" s="54">
        <f t="shared" si="1"/>
        <v>0.040094675748036115</v>
      </c>
      <c r="V47" s="84">
        <f t="shared" si="8"/>
        <v>6570054</v>
      </c>
      <c r="W47" s="86">
        <f t="shared" si="9"/>
        <v>6570054</v>
      </c>
      <c r="X47" s="86">
        <f t="shared" si="10"/>
        <v>0</v>
      </c>
    </row>
    <row r="48" spans="1:24" s="14" customFormat="1" ht="13.5" customHeight="1">
      <c r="A48" s="37">
        <v>6.5</v>
      </c>
      <c r="B48" s="38" t="s">
        <v>58</v>
      </c>
      <c r="C48" s="52">
        <f t="shared" si="2"/>
        <v>2910</v>
      </c>
      <c r="D48" s="119">
        <v>0</v>
      </c>
      <c r="E48" s="106">
        <v>2910</v>
      </c>
      <c r="F48" s="106">
        <v>600</v>
      </c>
      <c r="G48" s="106">
        <v>0</v>
      </c>
      <c r="H48" s="52">
        <f t="shared" si="4"/>
        <v>2310</v>
      </c>
      <c r="I48" s="52">
        <f t="shared" si="5"/>
        <v>2310</v>
      </c>
      <c r="J48" s="52">
        <f t="shared" si="6"/>
        <v>2310</v>
      </c>
      <c r="K48" s="106">
        <v>2310</v>
      </c>
      <c r="L48" s="106">
        <v>0</v>
      </c>
      <c r="M48" s="106">
        <v>0</v>
      </c>
      <c r="N48" s="105">
        <v>0</v>
      </c>
      <c r="O48" s="106">
        <v>0</v>
      </c>
      <c r="P48" s="51">
        <v>0</v>
      </c>
      <c r="Q48" s="120">
        <f>H48-I48</f>
        <v>0</v>
      </c>
      <c r="R48" s="51">
        <v>0</v>
      </c>
      <c r="S48" s="51">
        <v>0</v>
      </c>
      <c r="T48" s="52">
        <f t="shared" si="7"/>
        <v>0</v>
      </c>
      <c r="U48" s="54">
        <f t="shared" si="1"/>
        <v>1</v>
      </c>
      <c r="V48" s="84">
        <f t="shared" si="8"/>
        <v>2310</v>
      </c>
      <c r="W48" s="86">
        <f t="shared" si="9"/>
        <v>2310</v>
      </c>
      <c r="X48" s="86">
        <f t="shared" si="10"/>
        <v>0</v>
      </c>
    </row>
    <row r="49" spans="1:21" ht="21" customHeight="1">
      <c r="A49" s="347"/>
      <c r="B49" s="348"/>
      <c r="C49" s="348"/>
      <c r="D49" s="348"/>
      <c r="E49" s="348"/>
      <c r="F49" s="20"/>
      <c r="G49" s="20"/>
      <c r="H49" s="20"/>
      <c r="I49" s="21"/>
      <c r="J49" s="21"/>
      <c r="K49" s="21"/>
      <c r="L49" s="21"/>
      <c r="M49" s="21"/>
      <c r="N49" s="391" t="s">
        <v>183</v>
      </c>
      <c r="O49" s="392"/>
      <c r="P49" s="392"/>
      <c r="Q49" s="392"/>
      <c r="R49" s="392"/>
      <c r="S49" s="392"/>
      <c r="T49" s="392"/>
      <c r="U49" s="392"/>
    </row>
    <row r="50" spans="1:21" ht="21" customHeight="1">
      <c r="A50" s="393" t="s">
        <v>84</v>
      </c>
      <c r="B50" s="394"/>
      <c r="C50" s="394"/>
      <c r="D50" s="394"/>
      <c r="E50" s="394"/>
      <c r="F50" s="23"/>
      <c r="G50" s="23"/>
      <c r="H50" s="23"/>
      <c r="I50" s="24"/>
      <c r="J50" s="24"/>
      <c r="K50" s="24"/>
      <c r="L50" s="24"/>
      <c r="M50" s="24"/>
      <c r="N50" s="395" t="str">
        <f>'[1]TT'!C5</f>
        <v>CỤC TRƯỞNG</v>
      </c>
      <c r="O50" s="395"/>
      <c r="P50" s="395"/>
      <c r="Q50" s="395"/>
      <c r="R50" s="395"/>
      <c r="S50" s="395"/>
      <c r="T50" s="395"/>
      <c r="U50" s="395"/>
    </row>
    <row r="51" spans="1:21" ht="66.75" customHeight="1">
      <c r="A51" s="25"/>
      <c r="B51" s="25"/>
      <c r="C51" s="25"/>
      <c r="D51" s="25"/>
      <c r="E51" s="25"/>
      <c r="F51" s="26"/>
      <c r="G51" s="26"/>
      <c r="H51" s="26"/>
      <c r="I51" s="24"/>
      <c r="J51" s="24"/>
      <c r="K51" s="24"/>
      <c r="L51" s="24"/>
      <c r="M51" s="24"/>
      <c r="N51" s="24"/>
      <c r="O51" s="24"/>
      <c r="P51" s="26"/>
      <c r="Q51" s="27"/>
      <c r="R51" s="26"/>
      <c r="S51" s="24"/>
      <c r="T51" s="28"/>
      <c r="U51" s="28"/>
    </row>
    <row r="52" spans="1:21" ht="21" customHeight="1">
      <c r="A52" s="387" t="str">
        <f>'[1]TT'!C6</f>
        <v>TRẦN ĐỨC TOẢN</v>
      </c>
      <c r="B52" s="387"/>
      <c r="C52" s="387"/>
      <c r="D52" s="387"/>
      <c r="E52" s="387"/>
      <c r="F52" s="29" t="s">
        <v>45</v>
      </c>
      <c r="G52" s="29"/>
      <c r="H52" s="29"/>
      <c r="I52" s="29"/>
      <c r="J52" s="29"/>
      <c r="K52" s="29"/>
      <c r="L52" s="29"/>
      <c r="M52" s="29"/>
      <c r="N52" s="388" t="s">
        <v>93</v>
      </c>
      <c r="O52" s="388"/>
      <c r="P52" s="388"/>
      <c r="Q52" s="388"/>
      <c r="R52" s="388"/>
      <c r="S52" s="388"/>
      <c r="T52" s="388"/>
      <c r="U52" s="388"/>
    </row>
    <row r="53" ht="21" customHeight="1"/>
    <row r="54" ht="21" customHeight="1"/>
  </sheetData>
  <sheetProtection formatCells="0" formatColumns="0" formatRows="0" insertRows="0" deleteRows="0"/>
  <mergeCells count="34">
    <mergeCell ref="A52:E52"/>
    <mergeCell ref="N52:U52"/>
    <mergeCell ref="A8:B8"/>
    <mergeCell ref="A9:B9"/>
    <mergeCell ref="A49:E49"/>
    <mergeCell ref="N49:U49"/>
    <mergeCell ref="A50:E50"/>
    <mergeCell ref="N50:U50"/>
    <mergeCell ref="S4:S7"/>
    <mergeCell ref="J5:J7"/>
    <mergeCell ref="K5:M6"/>
    <mergeCell ref="N5:N7"/>
    <mergeCell ref="O5:O7"/>
    <mergeCell ref="P5:P7"/>
    <mergeCell ref="H3:H7"/>
    <mergeCell ref="I3:S3"/>
    <mergeCell ref="T3:T7"/>
    <mergeCell ref="U3:U7"/>
    <mergeCell ref="D4:D7"/>
    <mergeCell ref="E4:E7"/>
    <mergeCell ref="I4:I7"/>
    <mergeCell ref="J4:P4"/>
    <mergeCell ref="Q4:Q7"/>
    <mergeCell ref="R4:R7"/>
    <mergeCell ref="A1:D1"/>
    <mergeCell ref="E1:O1"/>
    <mergeCell ref="P1:U1"/>
    <mergeCell ref="P2:U2"/>
    <mergeCell ref="A3:A7"/>
    <mergeCell ref="B3:B7"/>
    <mergeCell ref="C3:C7"/>
    <mergeCell ref="D3:E3"/>
    <mergeCell ref="F3:F7"/>
    <mergeCell ref="G3:G7"/>
  </mergeCells>
  <printOptions/>
  <pageMargins left="0.38" right="0.3" top="0.39" bottom="0.42" header="0.31496062992126" footer="0.31496062992126"/>
  <pageSetup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dimension ref="A1:V25"/>
  <sheetViews>
    <sheetView zoomScalePageLayoutView="0" workbookViewId="0" topLeftCell="A1">
      <selection activeCell="T11" sqref="T11"/>
    </sheetView>
  </sheetViews>
  <sheetFormatPr defaultColWidth="9.00390625" defaultRowHeight="15.75"/>
  <cols>
    <col min="1" max="1" width="5.00390625" style="0" customWidth="1"/>
    <col min="2" max="2" width="21.50390625" style="0" customWidth="1"/>
    <col min="3" max="21" width="7.375" style="0" customWidth="1"/>
  </cols>
  <sheetData>
    <row r="1" spans="1:21" ht="16.5">
      <c r="A1" s="422" t="s">
        <v>185</v>
      </c>
      <c r="B1" s="422"/>
      <c r="C1" s="422"/>
      <c r="D1" s="422"/>
      <c r="E1" s="422"/>
      <c r="F1" s="330" t="s">
        <v>186</v>
      </c>
      <c r="G1" s="330"/>
      <c r="H1" s="330"/>
      <c r="I1" s="330"/>
      <c r="J1" s="330"/>
      <c r="K1" s="330"/>
      <c r="L1" s="330"/>
      <c r="M1" s="330"/>
      <c r="N1" s="330"/>
      <c r="O1" s="330"/>
      <c r="P1" s="330"/>
      <c r="Q1" s="360" t="str">
        <f>'[4]TT'!C2</f>
        <v>Đơn vị  báo cáo: Cục THADS tỉnh Hà Nam
Đơn vị nhận báo cáo: Tổng Cục THADS</v>
      </c>
      <c r="R1" s="360"/>
      <c r="S1" s="360"/>
      <c r="T1" s="360"/>
      <c r="U1" s="360"/>
    </row>
    <row r="2" spans="3:21" ht="15.75">
      <c r="C2" s="240"/>
      <c r="D2" s="240"/>
      <c r="E2" s="240"/>
      <c r="F2" s="240"/>
      <c r="G2" s="240"/>
      <c r="H2" s="240"/>
      <c r="I2" s="240"/>
      <c r="J2" s="240"/>
      <c r="K2" s="240"/>
      <c r="L2" s="241"/>
      <c r="M2" s="240"/>
      <c r="N2" s="240"/>
      <c r="O2" s="240"/>
      <c r="P2" s="241"/>
      <c r="Q2" s="423" t="s">
        <v>187</v>
      </c>
      <c r="R2" s="423"/>
      <c r="S2" s="423"/>
      <c r="T2" s="423"/>
      <c r="U2" s="423"/>
    </row>
    <row r="3" spans="1:21" ht="21" customHeight="1">
      <c r="A3" s="413" t="s">
        <v>2</v>
      </c>
      <c r="B3" s="413" t="s">
        <v>3</v>
      </c>
      <c r="C3" s="419" t="s">
        <v>188</v>
      </c>
      <c r="D3" s="419"/>
      <c r="E3" s="419"/>
      <c r="F3" s="419" t="s">
        <v>189</v>
      </c>
      <c r="G3" s="419"/>
      <c r="H3" s="419"/>
      <c r="I3" s="419" t="s">
        <v>190</v>
      </c>
      <c r="J3" s="419"/>
      <c r="K3" s="419"/>
      <c r="L3" s="419" t="s">
        <v>191</v>
      </c>
      <c r="M3" s="419"/>
      <c r="N3" s="419"/>
      <c r="O3" s="419"/>
      <c r="P3" s="419"/>
      <c r="Q3" s="419"/>
      <c r="R3" s="419"/>
      <c r="S3" s="419" t="s">
        <v>192</v>
      </c>
      <c r="T3" s="419"/>
      <c r="U3" s="419"/>
    </row>
    <row r="4" spans="1:21" ht="15.75">
      <c r="A4" s="420"/>
      <c r="B4" s="420"/>
      <c r="C4" s="419"/>
      <c r="D4" s="419"/>
      <c r="E4" s="419"/>
      <c r="F4" s="419"/>
      <c r="G4" s="419"/>
      <c r="H4" s="419"/>
      <c r="I4" s="419"/>
      <c r="J4" s="419"/>
      <c r="K4" s="419"/>
      <c r="L4" s="419" t="s">
        <v>193</v>
      </c>
      <c r="M4" s="419"/>
      <c r="N4" s="419"/>
      <c r="O4" s="419"/>
      <c r="P4" s="419" t="s">
        <v>194</v>
      </c>
      <c r="Q4" s="419"/>
      <c r="R4" s="419"/>
      <c r="S4" s="419"/>
      <c r="T4" s="419"/>
      <c r="U4" s="419"/>
    </row>
    <row r="5" spans="1:21" ht="15.75">
      <c r="A5" s="420"/>
      <c r="B5" s="420"/>
      <c r="C5" s="419"/>
      <c r="D5" s="419"/>
      <c r="E5" s="419"/>
      <c r="F5" s="419"/>
      <c r="G5" s="419"/>
      <c r="H5" s="419"/>
      <c r="I5" s="419"/>
      <c r="J5" s="419"/>
      <c r="K5" s="419"/>
      <c r="L5" s="413" t="s">
        <v>89</v>
      </c>
      <c r="M5" s="419" t="s">
        <v>6</v>
      </c>
      <c r="N5" s="419"/>
      <c r="O5" s="419"/>
      <c r="P5" s="413" t="s">
        <v>89</v>
      </c>
      <c r="Q5" s="419" t="s">
        <v>6</v>
      </c>
      <c r="R5" s="419"/>
      <c r="S5" s="419"/>
      <c r="T5" s="419"/>
      <c r="U5" s="419"/>
    </row>
    <row r="6" spans="1:21" ht="15.75">
      <c r="A6" s="420"/>
      <c r="B6" s="420"/>
      <c r="C6" s="413" t="s">
        <v>195</v>
      </c>
      <c r="D6" s="413" t="s">
        <v>196</v>
      </c>
      <c r="E6" s="413" t="s">
        <v>197</v>
      </c>
      <c r="F6" s="413" t="s">
        <v>198</v>
      </c>
      <c r="G6" s="413" t="s">
        <v>196</v>
      </c>
      <c r="H6" s="413" t="s">
        <v>197</v>
      </c>
      <c r="I6" s="413" t="s">
        <v>195</v>
      </c>
      <c r="J6" s="413" t="s">
        <v>196</v>
      </c>
      <c r="K6" s="413" t="s">
        <v>197</v>
      </c>
      <c r="L6" s="420"/>
      <c r="M6" s="413" t="s">
        <v>199</v>
      </c>
      <c r="N6" s="413" t="s">
        <v>200</v>
      </c>
      <c r="O6" s="413" t="s">
        <v>201</v>
      </c>
      <c r="P6" s="420"/>
      <c r="Q6" s="413" t="s">
        <v>202</v>
      </c>
      <c r="R6" s="413" t="s">
        <v>203</v>
      </c>
      <c r="S6" s="413" t="s">
        <v>89</v>
      </c>
      <c r="T6" s="413" t="s">
        <v>204</v>
      </c>
      <c r="U6" s="413" t="s">
        <v>205</v>
      </c>
    </row>
    <row r="7" spans="1:21" ht="30" customHeight="1">
      <c r="A7" s="414"/>
      <c r="B7" s="414"/>
      <c r="C7" s="414"/>
      <c r="D7" s="414"/>
      <c r="E7" s="414"/>
      <c r="F7" s="414"/>
      <c r="G7" s="414"/>
      <c r="H7" s="414"/>
      <c r="I7" s="414"/>
      <c r="J7" s="414"/>
      <c r="K7" s="414"/>
      <c r="L7" s="414"/>
      <c r="M7" s="414"/>
      <c r="N7" s="414"/>
      <c r="O7" s="414"/>
      <c r="P7" s="414"/>
      <c r="Q7" s="414"/>
      <c r="R7" s="414"/>
      <c r="S7" s="414"/>
      <c r="T7" s="414"/>
      <c r="U7" s="414"/>
    </row>
    <row r="8" spans="1:21" ht="15.75">
      <c r="A8" s="415" t="s">
        <v>24</v>
      </c>
      <c r="B8" s="415"/>
      <c r="C8" s="242">
        <v>1</v>
      </c>
      <c r="D8" s="243">
        <v>2</v>
      </c>
      <c r="E8" s="243">
        <v>3</v>
      </c>
      <c r="F8" s="243">
        <v>4</v>
      </c>
      <c r="G8" s="243">
        <v>5</v>
      </c>
      <c r="H8" s="243">
        <v>6</v>
      </c>
      <c r="I8" s="243">
        <v>7</v>
      </c>
      <c r="J8" s="243">
        <v>8</v>
      </c>
      <c r="K8" s="243">
        <v>9</v>
      </c>
      <c r="L8" s="244">
        <v>10</v>
      </c>
      <c r="M8" s="243">
        <v>11</v>
      </c>
      <c r="N8" s="243">
        <v>12</v>
      </c>
      <c r="O8" s="243">
        <v>13</v>
      </c>
      <c r="P8" s="244">
        <v>14</v>
      </c>
      <c r="Q8" s="243">
        <v>15</v>
      </c>
      <c r="R8" s="243">
        <v>16</v>
      </c>
      <c r="S8" s="244">
        <v>17</v>
      </c>
      <c r="T8" s="243">
        <v>18</v>
      </c>
      <c r="U8" s="243">
        <v>19</v>
      </c>
    </row>
    <row r="9" spans="1:22" ht="26.25" customHeight="1">
      <c r="A9" s="416" t="s">
        <v>89</v>
      </c>
      <c r="B9" s="416"/>
      <c r="C9" s="245">
        <f>C10+C11</f>
        <v>160</v>
      </c>
      <c r="D9" s="245">
        <f aca="true" t="shared" si="0" ref="D9:U9">D10+D11</f>
        <v>0</v>
      </c>
      <c r="E9" s="245">
        <f t="shared" si="0"/>
        <v>138</v>
      </c>
      <c r="F9" s="245">
        <f t="shared" si="0"/>
        <v>0</v>
      </c>
      <c r="G9" s="245">
        <f t="shared" si="0"/>
        <v>0</v>
      </c>
      <c r="H9" s="245">
        <f t="shared" si="0"/>
        <v>0</v>
      </c>
      <c r="I9" s="245">
        <f t="shared" si="0"/>
        <v>160</v>
      </c>
      <c r="J9" s="245">
        <f t="shared" si="0"/>
        <v>0</v>
      </c>
      <c r="K9" s="245">
        <f t="shared" si="0"/>
        <v>138</v>
      </c>
      <c r="L9" s="245">
        <f t="shared" si="0"/>
        <v>138</v>
      </c>
      <c r="M9" s="245">
        <f t="shared" si="0"/>
        <v>0</v>
      </c>
      <c r="N9" s="245">
        <f t="shared" si="0"/>
        <v>0</v>
      </c>
      <c r="O9" s="245">
        <f t="shared" si="0"/>
        <v>138</v>
      </c>
      <c r="P9" s="245">
        <f t="shared" si="0"/>
        <v>138</v>
      </c>
      <c r="Q9" s="245">
        <f t="shared" si="0"/>
        <v>138</v>
      </c>
      <c r="R9" s="245">
        <f t="shared" si="0"/>
        <v>0</v>
      </c>
      <c r="S9" s="245">
        <f t="shared" si="0"/>
        <v>138</v>
      </c>
      <c r="T9" s="245">
        <f t="shared" si="0"/>
        <v>138</v>
      </c>
      <c r="U9" s="245">
        <f t="shared" si="0"/>
        <v>0</v>
      </c>
      <c r="V9" s="268" t="str">
        <f>IF(AND(L9=P9,L9=E9+H9,L9=Q9+R9),"OK","KT lai")</f>
        <v>OK</v>
      </c>
    </row>
    <row r="10" spans="1:22" ht="26.25" customHeight="1">
      <c r="A10" s="246" t="s">
        <v>46</v>
      </c>
      <c r="B10" s="247" t="s">
        <v>206</v>
      </c>
      <c r="C10" s="248">
        <v>17</v>
      </c>
      <c r="D10" s="248"/>
      <c r="E10" s="248">
        <v>7</v>
      </c>
      <c r="F10" s="248"/>
      <c r="G10" s="248"/>
      <c r="H10" s="248"/>
      <c r="I10" s="248">
        <v>17</v>
      </c>
      <c r="J10" s="248"/>
      <c r="K10" s="248">
        <v>7</v>
      </c>
      <c r="L10" s="245">
        <f>M10+N10+O10</f>
        <v>7</v>
      </c>
      <c r="M10" s="248"/>
      <c r="N10" s="248"/>
      <c r="O10" s="248">
        <v>7</v>
      </c>
      <c r="P10" s="245">
        <f>Q10+R10</f>
        <v>7</v>
      </c>
      <c r="Q10" s="248">
        <v>7</v>
      </c>
      <c r="R10" s="248"/>
      <c r="S10" s="245">
        <f>T10+U10</f>
        <v>7</v>
      </c>
      <c r="T10" s="248">
        <v>7</v>
      </c>
      <c r="U10" s="248"/>
      <c r="V10" s="268" t="str">
        <f aca="true" t="shared" si="1" ref="V10:V17">IF(AND(L10=P10,L10=E10+H10,L10=Q10+R10),"OK","KT lai")</f>
        <v>OK</v>
      </c>
    </row>
    <row r="11" spans="1:22" ht="26.25" customHeight="1">
      <c r="A11" s="246" t="s">
        <v>50</v>
      </c>
      <c r="B11" s="247" t="s">
        <v>207</v>
      </c>
      <c r="C11" s="245">
        <f>C12+C13+C14+C15+C16+C17</f>
        <v>143</v>
      </c>
      <c r="D11" s="245">
        <f aca="true" t="shared" si="2" ref="D11:U11">D12+D13+D14+D15+D16+D17</f>
        <v>0</v>
      </c>
      <c r="E11" s="245">
        <f t="shared" si="2"/>
        <v>131</v>
      </c>
      <c r="F11" s="245">
        <f t="shared" si="2"/>
        <v>0</v>
      </c>
      <c r="G11" s="245">
        <f t="shared" si="2"/>
        <v>0</v>
      </c>
      <c r="H11" s="245">
        <f t="shared" si="2"/>
        <v>0</v>
      </c>
      <c r="I11" s="245">
        <f t="shared" si="2"/>
        <v>143</v>
      </c>
      <c r="J11" s="245">
        <f t="shared" si="2"/>
        <v>0</v>
      </c>
      <c r="K11" s="245">
        <f t="shared" si="2"/>
        <v>131</v>
      </c>
      <c r="L11" s="245">
        <f t="shared" si="2"/>
        <v>131</v>
      </c>
      <c r="M11" s="245">
        <f t="shared" si="2"/>
        <v>0</v>
      </c>
      <c r="N11" s="245">
        <f t="shared" si="2"/>
        <v>0</v>
      </c>
      <c r="O11" s="245">
        <f t="shared" si="2"/>
        <v>131</v>
      </c>
      <c r="P11" s="245">
        <f t="shared" si="2"/>
        <v>131</v>
      </c>
      <c r="Q11" s="245">
        <f t="shared" si="2"/>
        <v>131</v>
      </c>
      <c r="R11" s="245">
        <f t="shared" si="2"/>
        <v>0</v>
      </c>
      <c r="S11" s="245">
        <f t="shared" si="2"/>
        <v>131</v>
      </c>
      <c r="T11" s="245">
        <f t="shared" si="2"/>
        <v>131</v>
      </c>
      <c r="U11" s="245">
        <f t="shared" si="2"/>
        <v>0</v>
      </c>
      <c r="V11" s="268" t="str">
        <f t="shared" si="1"/>
        <v>OK</v>
      </c>
    </row>
    <row r="12" spans="1:22" s="275" customFormat="1" ht="26.25" customHeight="1">
      <c r="A12" s="271" t="s">
        <v>25</v>
      </c>
      <c r="B12" s="251" t="s">
        <v>208</v>
      </c>
      <c r="C12" s="272">
        <v>45</v>
      </c>
      <c r="D12" s="272"/>
      <c r="E12" s="272">
        <v>45</v>
      </c>
      <c r="F12" s="272"/>
      <c r="G12" s="272"/>
      <c r="H12" s="272"/>
      <c r="I12" s="272">
        <v>45</v>
      </c>
      <c r="J12" s="272"/>
      <c r="K12" s="272">
        <v>45</v>
      </c>
      <c r="L12" s="273">
        <f aca="true" t="shared" si="3" ref="L12:L17">M12+N12+O12</f>
        <v>45</v>
      </c>
      <c r="M12" s="272"/>
      <c r="N12" s="272"/>
      <c r="O12" s="272">
        <v>45</v>
      </c>
      <c r="P12" s="273">
        <f aca="true" t="shared" si="4" ref="P12:P17">Q12+R12</f>
        <v>45</v>
      </c>
      <c r="Q12" s="272">
        <v>45</v>
      </c>
      <c r="R12" s="272"/>
      <c r="S12" s="273">
        <f aca="true" t="shared" si="5" ref="S12:S17">T12+U12</f>
        <v>45</v>
      </c>
      <c r="T12" s="272">
        <v>45</v>
      </c>
      <c r="U12" s="272"/>
      <c r="V12" s="274" t="str">
        <f t="shared" si="1"/>
        <v>OK</v>
      </c>
    </row>
    <row r="13" spans="1:22" s="275" customFormat="1" ht="26.25" customHeight="1">
      <c r="A13" s="271" t="s">
        <v>26</v>
      </c>
      <c r="B13" s="251" t="s">
        <v>209</v>
      </c>
      <c r="C13" s="272">
        <v>50</v>
      </c>
      <c r="D13" s="272"/>
      <c r="E13" s="272">
        <v>46</v>
      </c>
      <c r="F13" s="272"/>
      <c r="G13" s="272"/>
      <c r="H13" s="272"/>
      <c r="I13" s="272">
        <v>50</v>
      </c>
      <c r="J13" s="272"/>
      <c r="K13" s="272">
        <v>46</v>
      </c>
      <c r="L13" s="273">
        <f t="shared" si="3"/>
        <v>46</v>
      </c>
      <c r="M13" s="272"/>
      <c r="N13" s="272"/>
      <c r="O13" s="272">
        <v>46</v>
      </c>
      <c r="P13" s="273">
        <f t="shared" si="4"/>
        <v>46</v>
      </c>
      <c r="Q13" s="272">
        <v>46</v>
      </c>
      <c r="R13" s="272"/>
      <c r="S13" s="273">
        <f t="shared" si="5"/>
        <v>46</v>
      </c>
      <c r="T13" s="272">
        <v>46</v>
      </c>
      <c r="U13" s="272"/>
      <c r="V13" s="274" t="str">
        <f t="shared" si="1"/>
        <v>OK</v>
      </c>
    </row>
    <row r="14" spans="1:22" s="275" customFormat="1" ht="26.25" customHeight="1">
      <c r="A14" s="271" t="s">
        <v>27</v>
      </c>
      <c r="B14" s="251" t="s">
        <v>210</v>
      </c>
      <c r="C14" s="272"/>
      <c r="D14" s="272"/>
      <c r="E14" s="272"/>
      <c r="F14" s="272"/>
      <c r="G14" s="272"/>
      <c r="H14" s="272"/>
      <c r="I14" s="272"/>
      <c r="J14" s="272"/>
      <c r="K14" s="272"/>
      <c r="L14" s="273">
        <f t="shared" si="3"/>
        <v>0</v>
      </c>
      <c r="M14" s="272"/>
      <c r="N14" s="272"/>
      <c r="O14" s="272"/>
      <c r="P14" s="273">
        <f t="shared" si="4"/>
        <v>0</v>
      </c>
      <c r="Q14" s="272"/>
      <c r="R14" s="272"/>
      <c r="S14" s="273">
        <f t="shared" si="5"/>
        <v>0</v>
      </c>
      <c r="T14" s="272"/>
      <c r="U14" s="272"/>
      <c r="V14" s="274" t="str">
        <f t="shared" si="1"/>
        <v>OK</v>
      </c>
    </row>
    <row r="15" spans="1:22" s="275" customFormat="1" ht="26.25" customHeight="1">
      <c r="A15" s="271" t="s">
        <v>28</v>
      </c>
      <c r="B15" s="251" t="s">
        <v>211</v>
      </c>
      <c r="C15" s="272">
        <v>33</v>
      </c>
      <c r="D15" s="272"/>
      <c r="E15" s="272">
        <v>33</v>
      </c>
      <c r="F15" s="272"/>
      <c r="G15" s="272"/>
      <c r="H15" s="272"/>
      <c r="I15" s="272">
        <v>33</v>
      </c>
      <c r="J15" s="272"/>
      <c r="K15" s="272">
        <v>33</v>
      </c>
      <c r="L15" s="273">
        <f t="shared" si="3"/>
        <v>33</v>
      </c>
      <c r="M15" s="272"/>
      <c r="N15" s="272"/>
      <c r="O15" s="272">
        <v>33</v>
      </c>
      <c r="P15" s="273">
        <f t="shared" si="4"/>
        <v>33</v>
      </c>
      <c r="Q15" s="272">
        <v>33</v>
      </c>
      <c r="R15" s="272"/>
      <c r="S15" s="273">
        <f t="shared" si="5"/>
        <v>33</v>
      </c>
      <c r="T15" s="272">
        <v>33</v>
      </c>
      <c r="U15" s="272"/>
      <c r="V15" s="274" t="str">
        <f t="shared" si="1"/>
        <v>OK</v>
      </c>
    </row>
    <row r="16" spans="1:22" ht="26.25" customHeight="1">
      <c r="A16" s="249" t="s">
        <v>29</v>
      </c>
      <c r="B16" s="250" t="s">
        <v>212</v>
      </c>
      <c r="C16" s="248">
        <v>2</v>
      </c>
      <c r="D16" s="248"/>
      <c r="E16" s="248">
        <v>2</v>
      </c>
      <c r="F16" s="248"/>
      <c r="G16" s="248"/>
      <c r="H16" s="248"/>
      <c r="I16" s="248">
        <v>2</v>
      </c>
      <c r="J16" s="248"/>
      <c r="K16" s="248">
        <v>2</v>
      </c>
      <c r="L16" s="245">
        <f t="shared" si="3"/>
        <v>2</v>
      </c>
      <c r="M16" s="248"/>
      <c r="N16" s="248"/>
      <c r="O16" s="248">
        <v>2</v>
      </c>
      <c r="P16" s="245">
        <v>2</v>
      </c>
      <c r="Q16" s="248">
        <v>2</v>
      </c>
      <c r="R16" s="248"/>
      <c r="S16" s="245">
        <f t="shared" si="5"/>
        <v>2</v>
      </c>
      <c r="T16" s="248">
        <v>2</v>
      </c>
      <c r="U16" s="248"/>
      <c r="V16" s="268" t="str">
        <f t="shared" si="1"/>
        <v>OK</v>
      </c>
    </row>
    <row r="17" spans="1:22" ht="26.25" customHeight="1">
      <c r="A17" s="249" t="s">
        <v>30</v>
      </c>
      <c r="B17" s="251" t="s">
        <v>213</v>
      </c>
      <c r="C17" s="248">
        <v>13</v>
      </c>
      <c r="D17" s="248"/>
      <c r="E17" s="248">
        <v>5</v>
      </c>
      <c r="F17" s="248"/>
      <c r="G17" s="248"/>
      <c r="H17" s="248"/>
      <c r="I17" s="248">
        <v>13</v>
      </c>
      <c r="J17" s="248"/>
      <c r="K17" s="248">
        <v>5</v>
      </c>
      <c r="L17" s="245">
        <f t="shared" si="3"/>
        <v>5</v>
      </c>
      <c r="M17" s="248"/>
      <c r="N17" s="248"/>
      <c r="O17" s="248">
        <v>5</v>
      </c>
      <c r="P17" s="245">
        <f t="shared" si="4"/>
        <v>5</v>
      </c>
      <c r="Q17" s="248">
        <v>5</v>
      </c>
      <c r="R17" s="248"/>
      <c r="S17" s="245">
        <f t="shared" si="5"/>
        <v>5</v>
      </c>
      <c r="T17" s="248">
        <v>5</v>
      </c>
      <c r="U17" s="248"/>
      <c r="V17" s="268" t="str">
        <f t="shared" si="1"/>
        <v>OK</v>
      </c>
    </row>
    <row r="18" spans="1:22" ht="16.5">
      <c r="A18" s="252"/>
      <c r="B18" s="417"/>
      <c r="C18" s="417"/>
      <c r="D18" s="417"/>
      <c r="E18" s="417"/>
      <c r="F18" s="417"/>
      <c r="G18" s="417"/>
      <c r="H18" s="253"/>
      <c r="I18" s="253"/>
      <c r="J18" s="253"/>
      <c r="K18" s="254"/>
      <c r="L18" s="255"/>
      <c r="M18" s="256"/>
      <c r="N18" s="254"/>
      <c r="O18" s="418" t="s">
        <v>182</v>
      </c>
      <c r="P18" s="418"/>
      <c r="Q18" s="418"/>
      <c r="R18" s="418"/>
      <c r="S18" s="418"/>
      <c r="T18" s="418"/>
      <c r="U18" s="257"/>
      <c r="V18" s="269"/>
    </row>
    <row r="19" spans="1:22" ht="16.5">
      <c r="A19" s="258"/>
      <c r="B19" s="421" t="s">
        <v>84</v>
      </c>
      <c r="C19" s="421"/>
      <c r="D19" s="421"/>
      <c r="E19" s="421"/>
      <c r="F19" s="421"/>
      <c r="G19" s="421"/>
      <c r="H19" s="259"/>
      <c r="I19" s="259"/>
      <c r="J19" s="259"/>
      <c r="K19" s="260"/>
      <c r="L19" s="261"/>
      <c r="M19" s="260"/>
      <c r="N19" s="262"/>
      <c r="O19" s="412" t="str">
        <f>'[4]TT'!C5</f>
        <v> CỤC TRƯỞNG</v>
      </c>
      <c r="P19" s="412"/>
      <c r="Q19" s="412"/>
      <c r="R19" s="412"/>
      <c r="S19" s="412"/>
      <c r="T19" s="412"/>
      <c r="U19" s="257"/>
      <c r="V19" s="270"/>
    </row>
    <row r="20" spans="1:22" ht="16.5">
      <c r="A20" s="170"/>
      <c r="B20" s="263"/>
      <c r="C20" s="263"/>
      <c r="D20" s="257"/>
      <c r="E20" s="257"/>
      <c r="F20" s="257"/>
      <c r="G20" s="263"/>
      <c r="H20" s="263"/>
      <c r="I20" s="263"/>
      <c r="J20" s="263"/>
      <c r="K20" s="257"/>
      <c r="L20" s="264"/>
      <c r="M20" s="257"/>
      <c r="N20" s="257"/>
      <c r="O20" s="257"/>
      <c r="P20" s="265"/>
      <c r="Q20" s="265"/>
      <c r="R20" s="265"/>
      <c r="S20" s="264"/>
      <c r="T20" s="257"/>
      <c r="U20" s="257"/>
      <c r="V20" s="170"/>
    </row>
    <row r="21" spans="1:22" ht="16.5">
      <c r="A21" s="170"/>
      <c r="B21" s="263"/>
      <c r="C21" s="263"/>
      <c r="D21" s="257"/>
      <c r="E21" s="257"/>
      <c r="F21" s="257"/>
      <c r="G21" s="263"/>
      <c r="H21" s="263"/>
      <c r="I21" s="263"/>
      <c r="J21" s="263"/>
      <c r="K21" s="257"/>
      <c r="L21" s="264"/>
      <c r="M21" s="257"/>
      <c r="N21" s="257"/>
      <c r="O21" s="257"/>
      <c r="P21" s="266"/>
      <c r="Q21" s="267"/>
      <c r="R21" s="267"/>
      <c r="S21" s="266"/>
      <c r="T21" s="267"/>
      <c r="U21" s="267"/>
      <c r="V21" s="170"/>
    </row>
    <row r="22" spans="1:22" ht="16.5">
      <c r="A22" s="170"/>
      <c r="B22" s="263"/>
      <c r="C22" s="263"/>
      <c r="D22" s="257"/>
      <c r="E22" s="257"/>
      <c r="F22" s="257"/>
      <c r="G22" s="263"/>
      <c r="H22" s="263"/>
      <c r="I22" s="263"/>
      <c r="J22" s="263"/>
      <c r="K22" s="257"/>
      <c r="L22" s="264"/>
      <c r="M22" s="257"/>
      <c r="N22" s="257"/>
      <c r="O22" s="257"/>
      <c r="P22" s="266"/>
      <c r="Q22" s="267"/>
      <c r="R22" s="267"/>
      <c r="S22" s="266"/>
      <c r="T22" s="267"/>
      <c r="U22" s="267"/>
      <c r="V22" s="170"/>
    </row>
    <row r="23" spans="1:22" ht="16.5">
      <c r="A23" s="170"/>
      <c r="B23" s="412" t="str">
        <f>'[4]TT'!C6</f>
        <v>Trần Đức Toản</v>
      </c>
      <c r="C23" s="412"/>
      <c r="D23" s="412"/>
      <c r="E23" s="412"/>
      <c r="F23" s="412"/>
      <c r="G23" s="412"/>
      <c r="H23" s="265"/>
      <c r="I23" s="265"/>
      <c r="J23" s="265"/>
      <c r="K23" s="257"/>
      <c r="L23" s="264"/>
      <c r="M23" s="257"/>
      <c r="N23" s="257"/>
      <c r="O23" s="412" t="str">
        <f>'[4]TT'!C3</f>
        <v>HOÀNG VĂN TUỆ</v>
      </c>
      <c r="P23" s="412"/>
      <c r="Q23" s="412"/>
      <c r="R23" s="412"/>
      <c r="S23" s="412"/>
      <c r="T23" s="412"/>
      <c r="U23" s="257"/>
      <c r="V23" s="170"/>
    </row>
    <row r="24" spans="1:21" ht="16.5">
      <c r="A24" s="267"/>
      <c r="B24" s="267"/>
      <c r="C24" s="267"/>
      <c r="D24" s="267"/>
      <c r="E24" s="267"/>
      <c r="F24" s="267"/>
      <c r="G24" s="267"/>
      <c r="H24" s="267"/>
      <c r="I24" s="267"/>
      <c r="J24" s="267"/>
      <c r="K24" s="267"/>
      <c r="L24" s="266"/>
      <c r="M24" s="267"/>
      <c r="N24" s="267"/>
      <c r="O24" s="267"/>
      <c r="P24" s="263"/>
      <c r="Q24" s="263"/>
      <c r="R24" s="263"/>
      <c r="S24" s="264"/>
      <c r="T24" s="257"/>
      <c r="U24" s="257"/>
    </row>
    <row r="25" spans="1:21" ht="16.5">
      <c r="A25" s="267"/>
      <c r="B25" s="267"/>
      <c r="C25" s="267"/>
      <c r="D25" s="267"/>
      <c r="E25" s="267"/>
      <c r="F25" s="267"/>
      <c r="G25" s="267"/>
      <c r="H25" s="267"/>
      <c r="I25" s="267"/>
      <c r="J25" s="267"/>
      <c r="K25" s="267"/>
      <c r="L25" s="266"/>
      <c r="M25" s="267"/>
      <c r="N25" s="267"/>
      <c r="O25" s="267"/>
      <c r="P25" s="265"/>
      <c r="Q25" s="265"/>
      <c r="R25" s="265"/>
      <c r="S25" s="264"/>
      <c r="T25" s="257"/>
      <c r="U25" s="257"/>
    </row>
  </sheetData>
  <sheetProtection/>
  <mergeCells count="42">
    <mergeCell ref="H6:H7"/>
    <mergeCell ref="I6:I7"/>
    <mergeCell ref="C6:C7"/>
    <mergeCell ref="D6:D7"/>
    <mergeCell ref="E6:E7"/>
    <mergeCell ref="A1:E1"/>
    <mergeCell ref="F1:P1"/>
    <mergeCell ref="Q1:U1"/>
    <mergeCell ref="Q2:U2"/>
    <mergeCell ref="A3:A7"/>
    <mergeCell ref="B3:B7"/>
    <mergeCell ref="L3:R3"/>
    <mergeCell ref="P4:R4"/>
    <mergeCell ref="L5:L7"/>
    <mergeCell ref="M5:O5"/>
    <mergeCell ref="P5:P7"/>
    <mergeCell ref="S6:S7"/>
    <mergeCell ref="Q5:R5"/>
    <mergeCell ref="O6:O7"/>
    <mergeCell ref="Q6:Q7"/>
    <mergeCell ref="R6:R7"/>
    <mergeCell ref="S3:U5"/>
    <mergeCell ref="G6:G7"/>
    <mergeCell ref="C3:E5"/>
    <mergeCell ref="F3:H5"/>
    <mergeCell ref="I3:K5"/>
    <mergeCell ref="B23:G23"/>
    <mergeCell ref="L4:O4"/>
    <mergeCell ref="J6:J7"/>
    <mergeCell ref="K6:K7"/>
    <mergeCell ref="B19:G19"/>
    <mergeCell ref="O19:T19"/>
    <mergeCell ref="O23:T23"/>
    <mergeCell ref="T6:T7"/>
    <mergeCell ref="U6:U7"/>
    <mergeCell ref="A8:B8"/>
    <mergeCell ref="A9:B9"/>
    <mergeCell ref="B18:G18"/>
    <mergeCell ref="O18:T18"/>
    <mergeCell ref="M6:M7"/>
    <mergeCell ref="N6:N7"/>
    <mergeCell ref="F6:F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K34"/>
  <sheetViews>
    <sheetView view="pageBreakPreview" zoomScaleSheetLayoutView="100" zoomScalePageLayoutView="0" workbookViewId="0" topLeftCell="A13">
      <selection activeCell="G25" sqref="G25"/>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 min="9" max="9" width="11.125" style="302" customWidth="1"/>
    <col min="10" max="10" width="12.25390625" style="0" customWidth="1"/>
    <col min="11" max="11" width="9.375" style="0" bestFit="1" customWidth="1"/>
  </cols>
  <sheetData>
    <row r="1" spans="1:9" s="276" customFormat="1" ht="21.75" customHeight="1">
      <c r="A1" s="424" t="s">
        <v>214</v>
      </c>
      <c r="B1" s="424"/>
      <c r="C1" s="424"/>
      <c r="D1" s="424"/>
      <c r="E1" s="424"/>
      <c r="F1" s="424"/>
      <c r="G1" s="424"/>
      <c r="H1" s="424"/>
      <c r="I1" s="301"/>
    </row>
    <row r="2" spans="1:9" s="276" customFormat="1" ht="21.75" customHeight="1">
      <c r="A2" s="425" t="s">
        <v>215</v>
      </c>
      <c r="B2" s="425"/>
      <c r="C2" s="425"/>
      <c r="D2" s="425"/>
      <c r="E2" s="425"/>
      <c r="F2" s="425"/>
      <c r="G2" s="425"/>
      <c r="H2" s="425"/>
      <c r="I2" s="301"/>
    </row>
    <row r="3" spans="6:8" ht="21" customHeight="1">
      <c r="F3" s="426" t="s">
        <v>216</v>
      </c>
      <c r="G3" s="426"/>
      <c r="H3" s="426"/>
    </row>
    <row r="4" spans="1:8" ht="15.75">
      <c r="A4" s="427" t="s">
        <v>217</v>
      </c>
      <c r="B4" s="427" t="s">
        <v>218</v>
      </c>
      <c r="C4" s="429" t="s">
        <v>219</v>
      </c>
      <c r="D4" s="429"/>
      <c r="E4" s="430"/>
      <c r="F4" s="431" t="s">
        <v>220</v>
      </c>
      <c r="G4" s="431"/>
      <c r="H4" s="431"/>
    </row>
    <row r="5" spans="1:8" ht="95.25" customHeight="1">
      <c r="A5" s="428"/>
      <c r="B5" s="428"/>
      <c r="C5" s="277" t="s">
        <v>221</v>
      </c>
      <c r="D5" s="278" t="s">
        <v>222</v>
      </c>
      <c r="E5" s="298" t="s">
        <v>223</v>
      </c>
      <c r="F5" s="277" t="s">
        <v>221</v>
      </c>
      <c r="G5" s="278" t="s">
        <v>222</v>
      </c>
      <c r="H5" s="279" t="s">
        <v>223</v>
      </c>
    </row>
    <row r="6" spans="1:11" ht="15.75">
      <c r="A6" s="280" t="s">
        <v>46</v>
      </c>
      <c r="B6" s="281" t="s">
        <v>96</v>
      </c>
      <c r="C6" s="282">
        <f aca="true" t="shared" si="0" ref="C6:H6">SUM(C7:C19)</f>
        <v>840</v>
      </c>
      <c r="D6" s="282">
        <f t="shared" si="0"/>
        <v>567</v>
      </c>
      <c r="E6" s="293">
        <f t="shared" si="0"/>
        <v>254</v>
      </c>
      <c r="F6" s="282">
        <f t="shared" si="0"/>
        <v>25868069</v>
      </c>
      <c r="G6" s="282">
        <f t="shared" si="0"/>
        <v>17770944</v>
      </c>
      <c r="H6" s="282">
        <f t="shared" si="0"/>
        <v>6312103</v>
      </c>
      <c r="I6" s="303"/>
      <c r="J6" s="283"/>
      <c r="K6" s="292"/>
    </row>
    <row r="7" spans="1:11" ht="15.75">
      <c r="A7" s="284" t="s">
        <v>25</v>
      </c>
      <c r="B7" s="285" t="s">
        <v>97</v>
      </c>
      <c r="C7" s="286">
        <f>E7+'01'!E11</f>
        <v>131</v>
      </c>
      <c r="D7" s="287">
        <f>E7+'01'!Q11</f>
        <v>61</v>
      </c>
      <c r="E7" s="299">
        <v>29</v>
      </c>
      <c r="F7" s="286">
        <f>H7+'02'!D11</f>
        <v>2092588</v>
      </c>
      <c r="G7" s="286">
        <f>H7+'02'!Q11</f>
        <v>1201553</v>
      </c>
      <c r="H7" s="291">
        <v>262961</v>
      </c>
      <c r="I7" s="304"/>
      <c r="J7" s="292"/>
      <c r="K7" s="292"/>
    </row>
    <row r="8" spans="1:11" ht="15.75">
      <c r="A8" s="284" t="s">
        <v>26</v>
      </c>
      <c r="B8" s="288" t="s">
        <v>98</v>
      </c>
      <c r="C8" s="286">
        <f>E8+'01'!E12</f>
        <v>37</v>
      </c>
      <c r="D8" s="287">
        <f>E8+'01'!Q12</f>
        <v>13</v>
      </c>
      <c r="E8" s="299">
        <v>4</v>
      </c>
      <c r="F8" s="286">
        <f>H8+'02'!D12</f>
        <v>2504300</v>
      </c>
      <c r="G8" s="286">
        <f>H8+'02'!Q12</f>
        <v>635499</v>
      </c>
      <c r="H8" s="291">
        <v>325627</v>
      </c>
      <c r="I8" s="304"/>
      <c r="J8" s="292"/>
      <c r="K8" s="292"/>
    </row>
    <row r="9" spans="1:11" ht="15.75">
      <c r="A9" s="284" t="s">
        <v>27</v>
      </c>
      <c r="B9" s="288" t="s">
        <v>99</v>
      </c>
      <c r="C9" s="286">
        <f>E9+'01'!E13</f>
        <v>0</v>
      </c>
      <c r="D9" s="287">
        <f>E9+'01'!Q13</f>
        <v>0</v>
      </c>
      <c r="E9" s="299">
        <v>0</v>
      </c>
      <c r="F9" s="286">
        <f>H9+'02'!D13</f>
        <v>0</v>
      </c>
      <c r="G9" s="286">
        <f>H9+'02'!Q13</f>
        <v>0</v>
      </c>
      <c r="H9" s="291">
        <v>0</v>
      </c>
      <c r="I9" s="304"/>
      <c r="J9" s="292"/>
      <c r="K9" s="292"/>
    </row>
    <row r="10" spans="1:11" ht="15.75">
      <c r="A10" s="284" t="s">
        <v>28</v>
      </c>
      <c r="B10" s="285" t="s">
        <v>100</v>
      </c>
      <c r="C10" s="286">
        <f>E10+'01'!E14</f>
        <v>0</v>
      </c>
      <c r="D10" s="287">
        <f>E10+'01'!Q14</f>
        <v>0</v>
      </c>
      <c r="E10" s="299">
        <v>0</v>
      </c>
      <c r="F10" s="286">
        <f>H10+'02'!D14</f>
        <v>0</v>
      </c>
      <c r="G10" s="286">
        <f>H10+'02'!Q14</f>
        <v>0</v>
      </c>
      <c r="H10" s="291">
        <v>0</v>
      </c>
      <c r="I10" s="304"/>
      <c r="J10" s="292"/>
      <c r="K10" s="292"/>
    </row>
    <row r="11" spans="1:11" ht="25.5">
      <c r="A11" s="284" t="s">
        <v>29</v>
      </c>
      <c r="B11" s="289" t="s">
        <v>101</v>
      </c>
      <c r="C11" s="286">
        <f>E11+'01'!E15</f>
        <v>0</v>
      </c>
      <c r="D11" s="287">
        <f>E11+'01'!Q15</f>
        <v>0</v>
      </c>
      <c r="E11" s="299">
        <v>0</v>
      </c>
      <c r="F11" s="286">
        <f>H11+'02'!D15</f>
        <v>0</v>
      </c>
      <c r="G11" s="286">
        <f>H11+'02'!Q15</f>
        <v>0</v>
      </c>
      <c r="H11" s="291">
        <v>0</v>
      </c>
      <c r="I11" s="304"/>
      <c r="J11" s="292"/>
      <c r="K11" s="292"/>
    </row>
    <row r="12" spans="1:11" ht="15.75">
      <c r="A12" s="284" t="s">
        <v>30</v>
      </c>
      <c r="B12" s="285" t="s">
        <v>102</v>
      </c>
      <c r="C12" s="286">
        <f>E12+'01'!E16</f>
        <v>607</v>
      </c>
      <c r="D12" s="287">
        <f>E12+'01'!Q16</f>
        <v>456</v>
      </c>
      <c r="E12" s="299">
        <v>211</v>
      </c>
      <c r="F12" s="286">
        <f>H12+'02'!D16</f>
        <v>15084596</v>
      </c>
      <c r="G12" s="286">
        <f>H12+'02'!Q16</f>
        <v>10107226</v>
      </c>
      <c r="H12" s="291">
        <v>79692</v>
      </c>
      <c r="I12" s="304"/>
      <c r="J12" s="292"/>
      <c r="K12" s="292"/>
    </row>
    <row r="13" spans="1:11" ht="15.75">
      <c r="A13" s="284" t="s">
        <v>31</v>
      </c>
      <c r="B13" s="285" t="s">
        <v>103</v>
      </c>
      <c r="C13" s="286">
        <f>E13+'01'!E17</f>
        <v>2</v>
      </c>
      <c r="D13" s="287">
        <f>E13+'01'!Q17</f>
        <v>1</v>
      </c>
      <c r="E13" s="299">
        <v>0</v>
      </c>
      <c r="F13" s="286">
        <f>H13+'02'!D17</f>
        <v>5065</v>
      </c>
      <c r="G13" s="286">
        <f>H13+'02'!Q17</f>
        <v>2715</v>
      </c>
      <c r="H13" s="291">
        <v>0</v>
      </c>
      <c r="I13" s="304"/>
      <c r="J13" s="292"/>
      <c r="K13" s="292"/>
    </row>
    <row r="14" spans="1:11" ht="15.75">
      <c r="A14" s="284" t="s">
        <v>32</v>
      </c>
      <c r="B14" s="285" t="s">
        <v>104</v>
      </c>
      <c r="C14" s="286">
        <f>E14+'01'!E18</f>
        <v>58</v>
      </c>
      <c r="D14" s="287">
        <f>E14+'01'!Q18</f>
        <v>33</v>
      </c>
      <c r="E14" s="299">
        <v>10</v>
      </c>
      <c r="F14" s="286">
        <f>H14+'02'!D18</f>
        <v>588295</v>
      </c>
      <c r="G14" s="286">
        <f>H14+'02'!Q18</f>
        <v>252031</v>
      </c>
      <c r="H14" s="291">
        <v>90841</v>
      </c>
      <c r="I14" s="304"/>
      <c r="J14" s="292"/>
      <c r="K14" s="292"/>
    </row>
    <row r="15" spans="1:11" ht="15.75">
      <c r="A15" s="284" t="s">
        <v>33</v>
      </c>
      <c r="B15" s="285" t="s">
        <v>105</v>
      </c>
      <c r="C15" s="286">
        <f>E15+'01'!E19</f>
        <v>1</v>
      </c>
      <c r="D15" s="287">
        <f>E15+'01'!Q19</f>
        <v>0</v>
      </c>
      <c r="E15" s="299">
        <v>0</v>
      </c>
      <c r="F15" s="286">
        <f>H15+'02'!D19</f>
        <v>17710</v>
      </c>
      <c r="G15" s="286">
        <f>H15+'02'!Q19</f>
        <v>0</v>
      </c>
      <c r="H15" s="291">
        <v>0</v>
      </c>
      <c r="I15" s="304"/>
      <c r="J15" s="292"/>
      <c r="K15" s="292"/>
    </row>
    <row r="16" spans="1:11" ht="15.75">
      <c r="A16" s="284" t="s">
        <v>34</v>
      </c>
      <c r="B16" s="285" t="s">
        <v>106</v>
      </c>
      <c r="C16" s="286">
        <f>E16+'01'!E20</f>
        <v>0</v>
      </c>
      <c r="D16" s="287">
        <f>E16+'01'!Q20</f>
        <v>0</v>
      </c>
      <c r="E16" s="299">
        <v>0</v>
      </c>
      <c r="F16" s="286">
        <f>H16+'02'!D20</f>
        <v>0</v>
      </c>
      <c r="G16" s="286">
        <f>H16+'02'!Q20</f>
        <v>0</v>
      </c>
      <c r="H16" s="291">
        <v>0</v>
      </c>
      <c r="I16" s="304"/>
      <c r="J16" s="292"/>
      <c r="K16" s="292"/>
    </row>
    <row r="17" spans="1:11" ht="15.75">
      <c r="A17" s="284" t="s">
        <v>35</v>
      </c>
      <c r="B17" s="285" t="s">
        <v>107</v>
      </c>
      <c r="C17" s="286">
        <f>E17+'01'!E21</f>
        <v>0</v>
      </c>
      <c r="D17" s="287">
        <f>E17+'01'!Q21</f>
        <v>0</v>
      </c>
      <c r="E17" s="299">
        <v>0</v>
      </c>
      <c r="F17" s="286">
        <f>H17+'02'!D21</f>
        <v>0</v>
      </c>
      <c r="G17" s="286">
        <f>H17+'02'!Q21</f>
        <v>0</v>
      </c>
      <c r="H17" s="291">
        <v>0</v>
      </c>
      <c r="I17" s="304"/>
      <c r="J17" s="292"/>
      <c r="K17" s="292"/>
    </row>
    <row r="18" spans="1:11" ht="15.75">
      <c r="A18" s="284" t="s">
        <v>36</v>
      </c>
      <c r="B18" s="285" t="s">
        <v>108</v>
      </c>
      <c r="C18" s="286">
        <f>E18+'01'!E22</f>
        <v>0</v>
      </c>
      <c r="D18" s="287">
        <f>E18+'01'!Q22</f>
        <v>0</v>
      </c>
      <c r="E18" s="299">
        <v>0</v>
      </c>
      <c r="F18" s="286">
        <f>H18+'02'!D22</f>
        <v>0</v>
      </c>
      <c r="G18" s="286">
        <f>H18+'02'!Q22</f>
        <v>0</v>
      </c>
      <c r="H18" s="291">
        <v>0</v>
      </c>
      <c r="I18" s="304"/>
      <c r="J18" s="292"/>
      <c r="K18" s="292"/>
    </row>
    <row r="19" spans="1:11" ht="15.75">
      <c r="A19" s="284" t="s">
        <v>37</v>
      </c>
      <c r="B19" s="285" t="s">
        <v>109</v>
      </c>
      <c r="C19" s="286">
        <f>E19+'01'!E23</f>
        <v>4</v>
      </c>
      <c r="D19" s="287">
        <f>E19+'01'!Q23</f>
        <v>3</v>
      </c>
      <c r="E19" s="299"/>
      <c r="F19" s="286">
        <f>H19+'02'!D23</f>
        <v>5575515</v>
      </c>
      <c r="G19" s="286">
        <f>H19+'02'!Q23</f>
        <v>5571920</v>
      </c>
      <c r="H19" s="291">
        <v>5552982</v>
      </c>
      <c r="I19" s="304"/>
      <c r="J19" s="292"/>
      <c r="K19" s="292"/>
    </row>
    <row r="20" spans="1:11" s="297" customFormat="1" ht="15.75">
      <c r="A20" s="280" t="s">
        <v>50</v>
      </c>
      <c r="B20" s="290" t="s">
        <v>110</v>
      </c>
      <c r="C20" s="282">
        <f>E20+'01'!E24</f>
        <v>223</v>
      </c>
      <c r="D20" s="294">
        <f>E20+'01'!Q24</f>
        <v>76</v>
      </c>
      <c r="E20" s="300">
        <v>16</v>
      </c>
      <c r="F20" s="282">
        <f>H20+'02'!D24</f>
        <v>782958427</v>
      </c>
      <c r="G20" s="282">
        <f>H20+'02'!Q24</f>
        <v>107075079</v>
      </c>
      <c r="H20" s="295">
        <v>5248736</v>
      </c>
      <c r="I20" s="305"/>
      <c r="J20" s="296"/>
      <c r="K20" s="296"/>
    </row>
    <row r="21" spans="1:11" ht="15.75">
      <c r="A21" s="284" t="s">
        <v>25</v>
      </c>
      <c r="B21" s="285" t="s">
        <v>97</v>
      </c>
      <c r="C21" s="286">
        <f>E21+'01'!E25</f>
        <v>114</v>
      </c>
      <c r="D21" s="287">
        <f>E21+'01'!Q25</f>
        <v>31</v>
      </c>
      <c r="E21" s="299">
        <v>11</v>
      </c>
      <c r="F21" s="286">
        <f>H21+'02'!D25</f>
        <v>42850169</v>
      </c>
      <c r="G21" s="286">
        <f>H21+'02'!Q25</f>
        <v>23877077</v>
      </c>
      <c r="H21" s="291">
        <v>4657141</v>
      </c>
      <c r="I21" s="304"/>
      <c r="J21" s="292"/>
      <c r="K21" s="292"/>
    </row>
    <row r="22" spans="1:11" ht="15.75">
      <c r="A22" s="284" t="s">
        <v>26</v>
      </c>
      <c r="B22" s="288" t="s">
        <v>98</v>
      </c>
      <c r="C22" s="286">
        <f>E22+'01'!E26</f>
        <v>28</v>
      </c>
      <c r="D22" s="287">
        <f>E22+'01'!Q26</f>
        <v>8</v>
      </c>
      <c r="E22" s="299">
        <v>3</v>
      </c>
      <c r="F22" s="286">
        <f>H22+'02'!D26</f>
        <v>727647253</v>
      </c>
      <c r="G22" s="286">
        <f>H22+'02'!Q26</f>
        <v>72871364</v>
      </c>
      <c r="H22" s="291">
        <v>488009</v>
      </c>
      <c r="I22" s="304"/>
      <c r="J22" s="292"/>
      <c r="K22" s="292"/>
    </row>
    <row r="23" spans="1:11" ht="15.75">
      <c r="A23" s="284" t="s">
        <v>27</v>
      </c>
      <c r="B23" s="288" t="s">
        <v>99</v>
      </c>
      <c r="C23" s="286">
        <f>E23+'01'!E27</f>
        <v>0</v>
      </c>
      <c r="D23" s="287">
        <f>E23+'01'!Q27</f>
        <v>0</v>
      </c>
      <c r="E23" s="299">
        <v>0</v>
      </c>
      <c r="F23" s="286">
        <f>H23+'02'!D27</f>
        <v>0</v>
      </c>
      <c r="G23" s="286">
        <f>H23+'02'!Q27</f>
        <v>0</v>
      </c>
      <c r="H23" s="291">
        <v>0</v>
      </c>
      <c r="I23" s="304"/>
      <c r="J23" s="292"/>
      <c r="K23" s="292"/>
    </row>
    <row r="24" spans="1:11" ht="15.75">
      <c r="A24" s="284" t="s">
        <v>28</v>
      </c>
      <c r="B24" s="285" t="s">
        <v>100</v>
      </c>
      <c r="C24" s="286">
        <f>E24+'01'!E28</f>
        <v>0</v>
      </c>
      <c r="D24" s="287">
        <f>E24+'01'!Q28</f>
        <v>0</v>
      </c>
      <c r="E24" s="299">
        <v>0</v>
      </c>
      <c r="F24" s="286">
        <f>H24+'02'!D28</f>
        <v>0</v>
      </c>
      <c r="G24" s="286">
        <f>H24+'02'!Q28</f>
        <v>0</v>
      </c>
      <c r="H24" s="291">
        <v>0</v>
      </c>
      <c r="I24" s="304"/>
      <c r="J24" s="292"/>
      <c r="K24" s="292"/>
    </row>
    <row r="25" spans="1:11" ht="25.5">
      <c r="A25" s="284" t="s">
        <v>29</v>
      </c>
      <c r="B25" s="289" t="s">
        <v>101</v>
      </c>
      <c r="C25" s="286">
        <f>E25+'01'!E29</f>
        <v>0</v>
      </c>
      <c r="D25" s="287">
        <f>E25+'01'!Q29</f>
        <v>0</v>
      </c>
      <c r="E25" s="299">
        <v>0</v>
      </c>
      <c r="F25" s="286">
        <f>H25+'02'!D29</f>
        <v>0</v>
      </c>
      <c r="G25" s="286">
        <f>H25+'02'!Q29</f>
        <v>0</v>
      </c>
      <c r="H25" s="291">
        <v>0</v>
      </c>
      <c r="I25" s="304"/>
      <c r="J25" s="292"/>
      <c r="K25" s="292"/>
    </row>
    <row r="26" spans="1:11" ht="15.75">
      <c r="A26" s="284" t="s">
        <v>30</v>
      </c>
      <c r="B26" s="285" t="s">
        <v>102</v>
      </c>
      <c r="C26" s="286">
        <f>E26+'01'!E30</f>
        <v>36</v>
      </c>
      <c r="D26" s="287">
        <f>E26+'01'!Q30</f>
        <v>23</v>
      </c>
      <c r="E26" s="299">
        <v>0</v>
      </c>
      <c r="F26" s="286">
        <f>H26+'02'!D30</f>
        <v>10447271</v>
      </c>
      <c r="G26" s="286">
        <f>H26+'02'!Q30</f>
        <v>9916602</v>
      </c>
      <c r="H26" s="291"/>
      <c r="I26" s="304"/>
      <c r="J26" s="292"/>
      <c r="K26" s="292"/>
    </row>
    <row r="27" spans="1:11" ht="15.75">
      <c r="A27" s="284" t="s">
        <v>31</v>
      </c>
      <c r="B27" s="285" t="s">
        <v>103</v>
      </c>
      <c r="C27" s="286">
        <f>E27+'01'!E31</f>
        <v>0</v>
      </c>
      <c r="D27" s="287">
        <f>E27+'01'!Q31</f>
        <v>0</v>
      </c>
      <c r="E27" s="299">
        <v>0</v>
      </c>
      <c r="F27" s="286">
        <f>H27+'02'!D31</f>
        <v>0</v>
      </c>
      <c r="G27" s="286">
        <f>H27+'02'!Q31</f>
        <v>0</v>
      </c>
      <c r="H27" s="291">
        <v>0</v>
      </c>
      <c r="I27" s="304"/>
      <c r="J27" s="292"/>
      <c r="K27" s="292"/>
    </row>
    <row r="28" spans="1:11" ht="15.75">
      <c r="A28" s="284" t="s">
        <v>32</v>
      </c>
      <c r="B28" s="285" t="s">
        <v>104</v>
      </c>
      <c r="C28" s="286">
        <f>E28+'01'!E32</f>
        <v>43</v>
      </c>
      <c r="D28" s="287">
        <f>E28+'01'!Q32</f>
        <v>13</v>
      </c>
      <c r="E28" s="299">
        <v>1</v>
      </c>
      <c r="F28" s="286">
        <f>H28+'02'!D32</f>
        <v>1154645</v>
      </c>
      <c r="G28" s="286">
        <f>H28+'02'!Q32</f>
        <v>386450</v>
      </c>
      <c r="H28" s="291">
        <v>80000</v>
      </c>
      <c r="I28" s="304"/>
      <c r="J28" s="292"/>
      <c r="K28" s="292"/>
    </row>
    <row r="29" spans="1:11" ht="15.75">
      <c r="A29" s="284" t="s">
        <v>33</v>
      </c>
      <c r="B29" s="285" t="s">
        <v>105</v>
      </c>
      <c r="C29" s="286">
        <f>E29+'01'!E33</f>
        <v>1</v>
      </c>
      <c r="D29" s="287">
        <f>E29+'01'!Q33</f>
        <v>0</v>
      </c>
      <c r="E29" s="299">
        <v>0</v>
      </c>
      <c r="F29" s="286">
        <f>H29+'02'!D33</f>
        <v>835503</v>
      </c>
      <c r="G29" s="286">
        <f>H29+'02'!Q33</f>
        <v>0</v>
      </c>
      <c r="H29" s="291">
        <v>0</v>
      </c>
      <c r="I29" s="304"/>
      <c r="J29" s="292"/>
      <c r="K29" s="292"/>
    </row>
    <row r="30" spans="1:11" ht="15.75">
      <c r="A30" s="284" t="s">
        <v>34</v>
      </c>
      <c r="B30" s="285" t="s">
        <v>106</v>
      </c>
      <c r="C30" s="286">
        <f>E30+'01'!E34</f>
        <v>0</v>
      </c>
      <c r="D30" s="287">
        <f>E30+'01'!Q34</f>
        <v>0</v>
      </c>
      <c r="E30" s="299">
        <v>0</v>
      </c>
      <c r="F30" s="286">
        <f>H30+'02'!D34</f>
        <v>0</v>
      </c>
      <c r="G30" s="286">
        <f>H30+'02'!Q34</f>
        <v>0</v>
      </c>
      <c r="H30" s="291">
        <v>0</v>
      </c>
      <c r="I30" s="304"/>
      <c r="J30" s="292"/>
      <c r="K30" s="292"/>
    </row>
    <row r="31" spans="1:11" ht="15.75">
      <c r="A31" s="284" t="s">
        <v>35</v>
      </c>
      <c r="B31" s="285" t="s">
        <v>107</v>
      </c>
      <c r="C31" s="286">
        <f>E31+'01'!E35</f>
        <v>1</v>
      </c>
      <c r="D31" s="287">
        <f>E31+'01'!Q35</f>
        <v>1</v>
      </c>
      <c r="E31" s="299">
        <v>1</v>
      </c>
      <c r="F31" s="286">
        <f>H31+'02'!D35</f>
        <v>23586</v>
      </c>
      <c r="G31" s="286">
        <f>H31+'02'!Q35</f>
        <v>23586</v>
      </c>
      <c r="H31" s="291">
        <v>23586</v>
      </c>
      <c r="I31" s="304"/>
      <c r="J31" s="292"/>
      <c r="K31" s="292"/>
    </row>
    <row r="32" spans="1:11" ht="15.75">
      <c r="A32" s="284" t="s">
        <v>36</v>
      </c>
      <c r="B32" s="285" t="s">
        <v>108</v>
      </c>
      <c r="C32" s="286">
        <f>E32+'01'!E36</f>
        <v>0</v>
      </c>
      <c r="D32" s="287">
        <f>E32+'01'!Q36</f>
        <v>0</v>
      </c>
      <c r="E32" s="299">
        <v>0</v>
      </c>
      <c r="F32" s="286">
        <f>H32+'02'!D36</f>
        <v>0</v>
      </c>
      <c r="G32" s="286">
        <f>H32+'02'!Q36</f>
        <v>0</v>
      </c>
      <c r="H32" s="291">
        <v>0</v>
      </c>
      <c r="I32" s="304"/>
      <c r="J32" s="292"/>
      <c r="K32" s="292"/>
    </row>
    <row r="33" spans="1:11" ht="15.75">
      <c r="A33" s="284" t="s">
        <v>37</v>
      </c>
      <c r="B33" s="285" t="s">
        <v>109</v>
      </c>
      <c r="C33" s="286">
        <f>E33+'01'!E37</f>
        <v>0</v>
      </c>
      <c r="D33" s="287">
        <f>E33+'01'!Q37</f>
        <v>0</v>
      </c>
      <c r="E33" s="299">
        <v>0</v>
      </c>
      <c r="F33" s="286">
        <f>H33+'02'!D37</f>
        <v>0</v>
      </c>
      <c r="G33" s="286">
        <f>H33+'02'!Q37</f>
        <v>0</v>
      </c>
      <c r="H33" s="291">
        <v>0</v>
      </c>
      <c r="I33" s="304"/>
      <c r="J33" s="292"/>
      <c r="K33" s="292"/>
    </row>
    <row r="34" spans="6:11" ht="15.75">
      <c r="F34" s="302"/>
      <c r="G34" s="302"/>
      <c r="H34" s="306"/>
      <c r="I34" s="303"/>
      <c r="J34" s="283"/>
      <c r="K34" s="292"/>
    </row>
  </sheetData>
  <sheetProtection formatCells="0" formatColumns="0" formatRows="0" insertColumns="0" insertRows="0"/>
  <mergeCells count="7">
    <mergeCell ref="A1:H1"/>
    <mergeCell ref="A2:H2"/>
    <mergeCell ref="F3:H3"/>
    <mergeCell ref="A4:A5"/>
    <mergeCell ref="B4:B5"/>
    <mergeCell ref="C4:E4"/>
    <mergeCell ref="F4:H4"/>
  </mergeCells>
  <printOptions/>
  <pageMargins left="0.4" right="0.36" top="0.45" bottom="0.49"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2020-11-19T07:33:57Z</cp:lastPrinted>
  <dcterms:created xsi:type="dcterms:W3CDTF">2020-05-04T02:25:17Z</dcterms:created>
  <dcterms:modified xsi:type="dcterms:W3CDTF">2021-01-06T03:31:31Z</dcterms:modified>
  <cp:category/>
  <cp:version/>
  <cp:contentType/>
  <cp:contentStatus/>
</cp:coreProperties>
</file>